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ghreed.fadel\Desktop\الخاص تعديل ملاحظات لجنة تدقيق - Copy\"/>
    </mc:Choice>
  </mc:AlternateContent>
  <bookViews>
    <workbookView xWindow="360" yWindow="240" windowWidth="9456" windowHeight="6612" tabRatio="892"/>
  </bookViews>
  <sheets>
    <sheet name="الكلفه  للسنوات" sheetId="38" r:id="rId1"/>
    <sheet name="مؤشرات" sheetId="21" r:id="rId2"/>
    <sheet name="مخطط المؤشرات" sheetId="43" r:id="rId3"/>
    <sheet name="دور السكن ج" sheetId="19" r:id="rId4"/>
    <sheet name="دور السكن م" sheetId="20" r:id="rId5"/>
    <sheet name="عمارات سكنيه ج و م" sheetId="25" r:id="rId6"/>
    <sheet name="عمارات تجاريه ج" sheetId="27" r:id="rId7"/>
    <sheet name="عمارات تجاريه م" sheetId="28" r:id="rId8"/>
    <sheet name="ابنيه صناعيه ج" sheetId="34" r:id="rId9"/>
    <sheet name="صناعي اضافة" sheetId="57" r:id="rId10"/>
    <sheet name="ابنيه تجاريه ج" sheetId="36" r:id="rId11"/>
    <sheet name="ابنيه تجاريه م" sheetId="37" r:id="rId12"/>
    <sheet name="ابنيه اجتماعيه ج" sheetId="30" r:id="rId13"/>
    <sheet name="ابنيه اجتماعيه م" sheetId="31" r:id="rId14"/>
    <sheet name="العاملين" sheetId="22" r:id="rId15"/>
    <sheet name="مخطط العاملين" sheetId="46" r:id="rId16"/>
    <sheet name="طابوق" sheetId="32" r:id="rId17"/>
    <sheet name="بلوك" sheetId="18" r:id="rId18"/>
    <sheet name="مخطط الطابوق والبلوك" sheetId="48" r:id="rId19"/>
    <sheet name="حجر" sheetId="13" r:id="rId20"/>
    <sheet name="حصى" sheetId="5" r:id="rId21"/>
    <sheet name="رمل" sheetId="7" r:id="rId22"/>
    <sheet name="مخطط الحصى" sheetId="50" r:id="rId23"/>
    <sheet name="سمنت" sheetId="29" r:id="rId24"/>
    <sheet name="جص" sheetId="6" r:id="rId25"/>
    <sheet name="مخطط الجص والاسمنت" sheetId="53" r:id="rId26"/>
    <sheet name="كاشي" sheetId="11" r:id="rId27"/>
    <sheet name="كاشي2" sheetId="12" r:id="rId28"/>
    <sheet name="مخطط الكاشي" sheetId="55" r:id="rId29"/>
    <sheet name="حديد" sheetId="24" r:id="rId30"/>
    <sheet name="ابواب" sheetId="2" r:id="rId31"/>
    <sheet name="شبابيك" sheetId="1" r:id="rId32"/>
    <sheet name="ت.كهربائيه1" sheetId="4" r:id="rId33"/>
    <sheet name="ت.كهربائيه2" sheetId="3" r:id="rId34"/>
    <sheet name="ت.صحيه1" sheetId="9" r:id="rId35"/>
    <sheet name="ت.صحيه2" sheetId="8" r:id="rId36"/>
    <sheet name="ت.صحيه3" sheetId="10" r:id="rId37"/>
    <sheet name="مواد انشائيه1" sheetId="17" r:id="rId38"/>
    <sheet name="مواد انشائيه2" sheetId="16" r:id="rId39"/>
    <sheet name="مواد انشائيه3" sheetId="15" r:id="rId40"/>
    <sheet name="مواد انشائيه4" sheetId="39" r:id="rId41"/>
    <sheet name="الكلفه الكليه" sheetId="23" r:id="rId42"/>
    <sheet name="Sheet3" sheetId="59" r:id="rId43"/>
    <sheet name="Sheet1" sheetId="56" r:id="rId44"/>
  </sheets>
  <definedNames>
    <definedName name="_xlnm.Print_Area" localSheetId="12">'ابنيه اجتماعيه ج'!$A$1:$I$23</definedName>
    <definedName name="_xlnm.Print_Area" localSheetId="10">'ابنيه تجاريه ج'!$A$1:$K$23</definedName>
    <definedName name="_xlnm.Print_Area" localSheetId="11">'ابنيه تجاريه م'!$A$1:$I$15</definedName>
    <definedName name="_xlnm.Print_Area" localSheetId="8">'ابنيه صناعيه ج'!$A$1:$K$18</definedName>
    <definedName name="_xlnm.Print_Area" localSheetId="30">ابواب!$A$1:$L$25</definedName>
    <definedName name="_xlnm.Print_Area" localSheetId="14">العاملين!$A$1:$L$24</definedName>
    <definedName name="_xlnm.Print_Area" localSheetId="0">'الكلفه  للسنوات'!$A$1:$I$54</definedName>
    <definedName name="_xlnm.Print_Area" localSheetId="41">'الكلفه الكليه'!$A$1:$G$22</definedName>
    <definedName name="_xlnm.Print_Area" localSheetId="17">بلوك!$A$1:$J$25</definedName>
    <definedName name="_xlnm.Print_Area" localSheetId="34">ت.صحيه1!$A$1:$M$25</definedName>
    <definedName name="_xlnm.Print_Area" localSheetId="35">ت.صحيه2!$A$1:$J$27</definedName>
    <definedName name="_xlnm.Print_Area" localSheetId="36">ت.صحيه3!$A$1:$I$24</definedName>
    <definedName name="_xlnm.Print_Area" localSheetId="32">ت.كهربائيه1!$A$1:$J$24</definedName>
    <definedName name="_xlnm.Print_Area" localSheetId="33">ت.كهربائيه2!$A$1:$G$24</definedName>
    <definedName name="_xlnm.Print_Area" localSheetId="19">حجر!$A$1:$K$24</definedName>
    <definedName name="_xlnm.Print_Area" localSheetId="29">حديد!$A$1:$G$24</definedName>
    <definedName name="_xlnm.Print_Area" localSheetId="20">حصى!$A$1:$H$25</definedName>
    <definedName name="_xlnm.Print_Area" localSheetId="3">'دور السكن ج'!$A$1:$J$25</definedName>
    <definedName name="_xlnm.Print_Area" localSheetId="23">سمنت!$A$1:$K$26</definedName>
    <definedName name="_xlnm.Print_Area" localSheetId="31">شبابيك!$A$1:$H$25</definedName>
    <definedName name="_xlnm.Print_Area" localSheetId="9">'صناعي اضافة'!$A$1:$F$14</definedName>
    <definedName name="_xlnm.Print_Area" localSheetId="16">طابوق!$A$1:$J$25</definedName>
    <definedName name="_xlnm.Print_Area" localSheetId="6">'عمارات تجاريه ج'!$A$1:$K$25</definedName>
    <definedName name="_xlnm.Print_Area" localSheetId="7">'عمارات تجاريه م'!$A$1:$J$22</definedName>
    <definedName name="_xlnm.Print_Area" localSheetId="26">كاشي!$A$1:$J$27</definedName>
    <definedName name="_xlnm.Print_Area" localSheetId="27">كاشي2!$A$1:$J$25</definedName>
    <definedName name="_xlnm.Print_Area" localSheetId="18">'مخطط الطابوق والبلوك'!$A$1:$O$27</definedName>
    <definedName name="_xlnm.Print_Area" localSheetId="37">'مواد انشائيه1'!$A$1:$H$24</definedName>
    <definedName name="_xlnm.Print_Area" localSheetId="38">'مواد انشائيه2'!$A$1:$J$24</definedName>
    <definedName name="_xlnm.Print_Area" localSheetId="39">'مواد انشائيه3'!$A$1:$H$24</definedName>
    <definedName name="_xlnm.Print_Area" localSheetId="40">'مواد انشائيه4'!$A$1:$J$24</definedName>
    <definedName name="_xlnm.Print_Area" localSheetId="1">مؤشرات!$A$1:$K$19</definedName>
  </definedNames>
  <calcPr calcId="162913"/>
</workbook>
</file>

<file path=xl/calcChain.xml><?xml version="1.0" encoding="utf-8"?>
<calcChain xmlns="http://schemas.openxmlformats.org/spreadsheetml/2006/main">
  <c r="I9" i="12" l="1"/>
  <c r="J14" i="21" l="1"/>
  <c r="J13" i="21"/>
  <c r="J12" i="21"/>
  <c r="J11" i="21"/>
  <c r="J10" i="21"/>
  <c r="J9" i="21"/>
  <c r="G22" i="30" l="1"/>
  <c r="H18" i="28"/>
  <c r="J23" i="27"/>
  <c r="G24" i="19"/>
  <c r="H23" i="22"/>
  <c r="K9" i="22" l="1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8" i="22"/>
  <c r="I23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8" i="22"/>
  <c r="N18" i="36"/>
  <c r="O19" i="36"/>
  <c r="P15" i="36"/>
  <c r="E10" i="39"/>
  <c r="C13" i="39"/>
  <c r="G10" i="15"/>
  <c r="G9" i="15"/>
  <c r="C16" i="15"/>
  <c r="I17" i="16"/>
  <c r="G14" i="16"/>
  <c r="G13" i="16"/>
  <c r="E21" i="16"/>
  <c r="E19" i="16"/>
  <c r="E14" i="16" l="1"/>
  <c r="E13" i="16"/>
  <c r="C11" i="16"/>
  <c r="C9" i="16"/>
  <c r="C12" i="16"/>
  <c r="C10" i="16"/>
  <c r="G20" i="17"/>
  <c r="G17" i="17"/>
  <c r="E23" i="17"/>
  <c r="E21" i="17"/>
  <c r="E20" i="17"/>
  <c r="E14" i="17"/>
  <c r="E15" i="17"/>
  <c r="E13" i="17"/>
  <c r="E10" i="17"/>
  <c r="E11" i="17"/>
  <c r="E9" i="17"/>
  <c r="E23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C23" i="10"/>
  <c r="C21" i="10"/>
  <c r="C19" i="10"/>
  <c r="C15" i="10"/>
  <c r="C16" i="10"/>
  <c r="C14" i="10"/>
  <c r="C12" i="10"/>
  <c r="C10" i="10"/>
  <c r="C9" i="10"/>
  <c r="I14" i="8"/>
  <c r="I15" i="8"/>
  <c r="I16" i="8"/>
  <c r="I17" i="8"/>
  <c r="I18" i="8"/>
  <c r="I19" i="8"/>
  <c r="I20" i="8"/>
  <c r="I21" i="8"/>
  <c r="I22" i="8"/>
  <c r="I23" i="8"/>
  <c r="I13" i="8"/>
  <c r="I11" i="8"/>
  <c r="I10" i="8"/>
  <c r="E14" i="8"/>
  <c r="E15" i="8"/>
  <c r="E16" i="8"/>
  <c r="E17" i="8"/>
  <c r="E18" i="8"/>
  <c r="E19" i="8"/>
  <c r="E20" i="8"/>
  <c r="E21" i="8"/>
  <c r="E22" i="8"/>
  <c r="E23" i="8"/>
  <c r="E13" i="8"/>
  <c r="E10" i="8"/>
  <c r="E11" i="8"/>
  <c r="E9" i="8"/>
  <c r="C19" i="8"/>
  <c r="C14" i="8"/>
  <c r="C10" i="8"/>
  <c r="K23" i="9"/>
  <c r="K20" i="9"/>
  <c r="K21" i="9"/>
  <c r="K19" i="9"/>
  <c r="K17" i="9"/>
  <c r="K16" i="9"/>
  <c r="K15" i="9"/>
  <c r="K14" i="9"/>
  <c r="K13" i="9"/>
  <c r="K10" i="9"/>
  <c r="K11" i="9"/>
  <c r="K9" i="9"/>
  <c r="I14" i="9"/>
  <c r="I10" i="9"/>
  <c r="I9" i="9"/>
  <c r="G21" i="9"/>
  <c r="G20" i="9"/>
  <c r="G19" i="9"/>
  <c r="G17" i="9"/>
  <c r="G11" i="9"/>
  <c r="G12" i="9"/>
  <c r="G13" i="9"/>
  <c r="G14" i="9"/>
  <c r="G15" i="9"/>
  <c r="G10" i="9"/>
  <c r="E23" i="9"/>
  <c r="E22" i="9"/>
  <c r="E17" i="9"/>
  <c r="E18" i="9"/>
  <c r="E19" i="9"/>
  <c r="E20" i="9"/>
  <c r="E16" i="9"/>
  <c r="E11" i="9"/>
  <c r="E12" i="9"/>
  <c r="E13" i="9"/>
  <c r="E14" i="9"/>
  <c r="E10" i="9"/>
  <c r="C20" i="9"/>
  <c r="C21" i="9"/>
  <c r="C22" i="9"/>
  <c r="C23" i="9"/>
  <c r="C19" i="9"/>
  <c r="C16" i="9"/>
  <c r="C14" i="9"/>
  <c r="C13" i="9"/>
  <c r="C10" i="9"/>
  <c r="C11" i="9"/>
  <c r="C9" i="9"/>
  <c r="E18" i="3"/>
  <c r="E13" i="3"/>
  <c r="E9" i="3"/>
  <c r="C23" i="3"/>
  <c r="C22" i="3"/>
  <c r="C21" i="3"/>
  <c r="C19" i="3"/>
  <c r="C20" i="3"/>
  <c r="C18" i="3"/>
  <c r="C17" i="3"/>
  <c r="C15" i="3"/>
  <c r="C11" i="3"/>
  <c r="C10" i="3"/>
  <c r="C9" i="3"/>
  <c r="C16" i="3"/>
  <c r="C12" i="3"/>
  <c r="C13" i="3"/>
  <c r="C14" i="3"/>
  <c r="E12" i="1"/>
  <c r="E13" i="1"/>
  <c r="E11" i="1"/>
  <c r="I13" i="2"/>
  <c r="I12" i="2"/>
  <c r="C20" i="24"/>
  <c r="C21" i="24"/>
  <c r="C19" i="24"/>
  <c r="C14" i="24"/>
  <c r="C11" i="24"/>
  <c r="C10" i="24"/>
  <c r="E15" i="12"/>
  <c r="E9" i="12"/>
  <c r="C21" i="12"/>
  <c r="C17" i="12"/>
  <c r="C16" i="12"/>
  <c r="C14" i="12"/>
  <c r="C13" i="12"/>
  <c r="I15" i="11"/>
  <c r="I16" i="11"/>
  <c r="I14" i="11"/>
  <c r="I12" i="11"/>
  <c r="E18" i="11"/>
  <c r="E19" i="11"/>
  <c r="E20" i="11"/>
  <c r="E21" i="11"/>
  <c r="E22" i="11"/>
  <c r="E23" i="11"/>
  <c r="E17" i="11"/>
  <c r="E10" i="11"/>
  <c r="E11" i="11"/>
  <c r="E12" i="11"/>
  <c r="E13" i="11"/>
  <c r="E14" i="11"/>
  <c r="E15" i="11"/>
  <c r="E9" i="11"/>
  <c r="C23" i="11"/>
  <c r="C21" i="11"/>
  <c r="C20" i="11"/>
  <c r="C11" i="11"/>
  <c r="C12" i="11"/>
  <c r="C13" i="11"/>
  <c r="C14" i="11"/>
  <c r="C15" i="11"/>
  <c r="C10" i="11"/>
  <c r="C16" i="6"/>
  <c r="C14" i="6"/>
  <c r="C12" i="6"/>
  <c r="C9" i="6"/>
  <c r="G14" i="29"/>
  <c r="G15" i="29"/>
  <c r="G16" i="29"/>
  <c r="G17" i="29"/>
  <c r="G18" i="29"/>
  <c r="G19" i="29"/>
  <c r="G20" i="29"/>
  <c r="G13" i="29"/>
  <c r="G10" i="29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G10" i="7"/>
  <c r="E17" i="7"/>
  <c r="E10" i="7"/>
  <c r="C22" i="7"/>
  <c r="C21" i="7"/>
  <c r="C12" i="7"/>
  <c r="E17" i="13"/>
  <c r="E15" i="13"/>
  <c r="E11" i="13"/>
  <c r="E10" i="13"/>
  <c r="C17" i="13"/>
  <c r="C13" i="13"/>
  <c r="C11" i="13"/>
  <c r="C10" i="13"/>
  <c r="G20" i="18"/>
  <c r="G13" i="18"/>
  <c r="G23" i="18"/>
  <c r="G22" i="18"/>
  <c r="E23" i="18"/>
  <c r="E13" i="18"/>
  <c r="E20" i="32"/>
  <c r="C13" i="32"/>
  <c r="C12" i="32"/>
  <c r="C10" i="32"/>
  <c r="I23" i="4"/>
  <c r="I22" i="4"/>
  <c r="I21" i="4"/>
  <c r="I19" i="4"/>
  <c r="I20" i="4"/>
  <c r="I18" i="4"/>
  <c r="I14" i="4"/>
  <c r="I15" i="4"/>
  <c r="I16" i="4"/>
  <c r="I13" i="4"/>
  <c r="I11" i="4"/>
  <c r="C14" i="4"/>
  <c r="C13" i="4"/>
  <c r="C11" i="4"/>
  <c r="C10" i="4"/>
  <c r="E23" i="4"/>
  <c r="E20" i="4"/>
  <c r="E19" i="4"/>
  <c r="E18" i="4"/>
  <c r="E17" i="4"/>
  <c r="E16" i="4"/>
  <c r="E14" i="4"/>
  <c r="E13" i="4"/>
  <c r="E12" i="4"/>
  <c r="E11" i="4"/>
  <c r="E10" i="4"/>
  <c r="E9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10" i="4"/>
  <c r="E15" i="3" l="1"/>
  <c r="I13" i="25" l="1"/>
  <c r="H13" i="25"/>
  <c r="G13" i="25"/>
  <c r="F13" i="25"/>
  <c r="E13" i="25"/>
  <c r="D13" i="25"/>
  <c r="C13" i="25"/>
  <c r="F23" i="6" l="1"/>
  <c r="G23" i="6"/>
  <c r="B22" i="38" l="1"/>
  <c r="G17" i="39" l="1"/>
  <c r="C17" i="39"/>
  <c r="C9" i="39"/>
  <c r="E22" i="15"/>
  <c r="C22" i="15"/>
  <c r="I22" i="16"/>
  <c r="I9" i="16"/>
  <c r="G22" i="16"/>
  <c r="G20" i="16"/>
  <c r="G12" i="16"/>
  <c r="G10" i="16"/>
  <c r="G17" i="16"/>
  <c r="G23" i="16"/>
  <c r="G9" i="16"/>
  <c r="E17" i="16"/>
  <c r="E10" i="16"/>
  <c r="E15" i="16"/>
  <c r="E22" i="16"/>
  <c r="E23" i="16"/>
  <c r="E9" i="16"/>
  <c r="C16" i="16"/>
  <c r="G22" i="17" l="1"/>
  <c r="H21" i="39"/>
  <c r="H20" i="39"/>
  <c r="H18" i="39"/>
  <c r="H14" i="39"/>
  <c r="H11" i="39"/>
  <c r="H10" i="39"/>
  <c r="H13" i="39"/>
  <c r="H16" i="39"/>
  <c r="H9" i="39"/>
  <c r="H23" i="39"/>
  <c r="C22" i="17"/>
  <c r="H22" i="39" s="1"/>
  <c r="H19" i="39"/>
  <c r="C17" i="17"/>
  <c r="H15" i="39"/>
  <c r="H12" i="39"/>
  <c r="E22" i="10"/>
  <c r="E21" i="10"/>
  <c r="C17" i="10"/>
  <c r="C22" i="10"/>
  <c r="G23" i="8"/>
  <c r="G22" i="8"/>
  <c r="G21" i="8"/>
  <c r="G20" i="8"/>
  <c r="G19" i="8"/>
  <c r="G18" i="8"/>
  <c r="G17" i="8"/>
  <c r="G16" i="8"/>
  <c r="G15" i="8"/>
  <c r="G14" i="8"/>
  <c r="G13" i="8"/>
  <c r="G11" i="8"/>
  <c r="G10" i="8"/>
  <c r="G9" i="8"/>
  <c r="H17" i="39" l="1"/>
  <c r="H15" i="10"/>
  <c r="H12" i="10"/>
  <c r="H11" i="10"/>
  <c r="H21" i="10"/>
  <c r="H9" i="10"/>
  <c r="H10" i="10"/>
  <c r="H13" i="10"/>
  <c r="H16" i="10"/>
  <c r="H18" i="10"/>
  <c r="H20" i="10"/>
  <c r="G22" i="9"/>
  <c r="H22" i="10" s="1"/>
  <c r="H23" i="10"/>
  <c r="H14" i="10"/>
  <c r="H19" i="10"/>
  <c r="H17" i="10"/>
  <c r="F13" i="3"/>
  <c r="E20" i="3"/>
  <c r="E14" i="3"/>
  <c r="E16" i="3"/>
  <c r="E17" i="3"/>
  <c r="E19" i="3"/>
  <c r="E21" i="3"/>
  <c r="E22" i="3"/>
  <c r="E23" i="3"/>
  <c r="D14" i="31" l="1"/>
  <c r="E14" i="31"/>
  <c r="F14" i="31"/>
  <c r="G14" i="31"/>
  <c r="C14" i="31"/>
  <c r="F21" i="3" l="1"/>
  <c r="F12" i="3"/>
  <c r="F16" i="3"/>
  <c r="F17" i="3"/>
  <c r="F19" i="3"/>
  <c r="F23" i="3"/>
  <c r="F14" i="3"/>
  <c r="F10" i="3"/>
  <c r="F11" i="3"/>
  <c r="F15" i="3"/>
  <c r="F18" i="3"/>
  <c r="F20" i="3"/>
  <c r="E22" i="4"/>
  <c r="F22" i="3" s="1"/>
  <c r="F9" i="3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G9" i="1"/>
  <c r="F9" i="1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J22" i="2"/>
  <c r="K22" i="2"/>
  <c r="J23" i="2"/>
  <c r="K23" i="2"/>
  <c r="K9" i="2"/>
  <c r="J9" i="2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9" i="24"/>
  <c r="H10" i="12" l="1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9" i="12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21" i="6"/>
  <c r="G21" i="6"/>
  <c r="F22" i="6"/>
  <c r="G22" i="6"/>
  <c r="G9" i="6"/>
  <c r="F9" i="6"/>
  <c r="H10" i="29"/>
  <c r="I10" i="29"/>
  <c r="H11" i="29"/>
  <c r="I11" i="29"/>
  <c r="H12" i="29"/>
  <c r="I12" i="29"/>
  <c r="H13" i="29"/>
  <c r="I13" i="29"/>
  <c r="H14" i="29"/>
  <c r="I14" i="29"/>
  <c r="H15" i="29"/>
  <c r="I15" i="29"/>
  <c r="H16" i="29"/>
  <c r="I16" i="29"/>
  <c r="H17" i="29"/>
  <c r="I17" i="29"/>
  <c r="H18" i="29"/>
  <c r="I18" i="29"/>
  <c r="H19" i="29"/>
  <c r="I19" i="29"/>
  <c r="H20" i="29"/>
  <c r="I20" i="29"/>
  <c r="H21" i="29"/>
  <c r="I21" i="29"/>
  <c r="H22" i="29"/>
  <c r="I22" i="29"/>
  <c r="H23" i="29"/>
  <c r="I23" i="29"/>
  <c r="I9" i="29"/>
  <c r="H9" i="29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9" i="7"/>
  <c r="F9" i="7"/>
  <c r="F10" i="13"/>
  <c r="G10" i="13"/>
  <c r="F11" i="13"/>
  <c r="G11" i="13"/>
  <c r="F12" i="13"/>
  <c r="G12" i="13"/>
  <c r="F13" i="13"/>
  <c r="G13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G9" i="13"/>
  <c r="F9" i="13"/>
  <c r="I24" i="12" l="1"/>
  <c r="H24" i="12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G9" i="5"/>
  <c r="F9" i="5"/>
  <c r="I10" i="18" l="1"/>
  <c r="I11" i="18"/>
  <c r="H12" i="18"/>
  <c r="I12" i="18"/>
  <c r="H13" i="18"/>
  <c r="I13" i="18"/>
  <c r="H14" i="18"/>
  <c r="I14" i="18"/>
  <c r="H15" i="18"/>
  <c r="I15" i="18"/>
  <c r="H16" i="18"/>
  <c r="I16" i="18"/>
  <c r="H17" i="18"/>
  <c r="I17" i="18"/>
  <c r="H18" i="18"/>
  <c r="I18" i="18"/>
  <c r="H19" i="18"/>
  <c r="I19" i="18"/>
  <c r="H20" i="18"/>
  <c r="I20" i="18"/>
  <c r="H21" i="18"/>
  <c r="I21" i="18"/>
  <c r="H22" i="18"/>
  <c r="I22" i="18"/>
  <c r="H23" i="18"/>
  <c r="I23" i="18"/>
  <c r="I9" i="18"/>
  <c r="I10" i="32"/>
  <c r="I11" i="32"/>
  <c r="I12" i="32"/>
  <c r="B10" i="23" s="1"/>
  <c r="I13" i="32"/>
  <c r="I14" i="32"/>
  <c r="I15" i="32"/>
  <c r="B13" i="23" s="1"/>
  <c r="I16" i="32"/>
  <c r="I17" i="32"/>
  <c r="I18" i="32"/>
  <c r="I19" i="32"/>
  <c r="B17" i="23" s="1"/>
  <c r="I20" i="32"/>
  <c r="B18" i="23" s="1"/>
  <c r="I21" i="32"/>
  <c r="I22" i="32"/>
  <c r="I23" i="32"/>
  <c r="I9" i="32"/>
  <c r="B7" i="23" s="1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9" i="32"/>
  <c r="D22" i="30"/>
  <c r="E22" i="30"/>
  <c r="F22" i="30"/>
  <c r="H22" i="30"/>
  <c r="C22" i="30"/>
  <c r="B21" i="23" l="1"/>
  <c r="B8" i="23"/>
  <c r="B12" i="23"/>
  <c r="B9" i="23"/>
  <c r="B20" i="23"/>
  <c r="B19" i="23"/>
  <c r="B11" i="23"/>
  <c r="B16" i="23"/>
  <c r="B15" i="23"/>
  <c r="B14" i="23"/>
  <c r="E18" i="28"/>
  <c r="F18" i="28"/>
  <c r="G18" i="28"/>
  <c r="I18" i="28"/>
  <c r="C18" i="28"/>
  <c r="D18" i="28"/>
  <c r="I21" i="36" l="1"/>
  <c r="I10" i="21" l="1"/>
  <c r="I11" i="21"/>
  <c r="I12" i="21"/>
  <c r="I13" i="21"/>
  <c r="I14" i="21"/>
  <c r="I9" i="21"/>
  <c r="H10" i="21"/>
  <c r="H11" i="21"/>
  <c r="H12" i="21"/>
  <c r="H13" i="21"/>
  <c r="H14" i="21"/>
  <c r="H9" i="21"/>
  <c r="C14" i="37"/>
  <c r="D14" i="37"/>
  <c r="E14" i="37"/>
  <c r="F14" i="37"/>
  <c r="G14" i="37"/>
  <c r="H14" i="37"/>
  <c r="B14" i="37"/>
  <c r="C21" i="36"/>
  <c r="D21" i="36"/>
  <c r="E21" i="36"/>
  <c r="F21" i="36"/>
  <c r="G21" i="36"/>
  <c r="H21" i="36"/>
  <c r="B21" i="36"/>
  <c r="C11" i="57"/>
  <c r="D11" i="57"/>
  <c r="E11" i="57"/>
  <c r="B11" i="57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7" i="23"/>
  <c r="E24" i="24" l="1"/>
  <c r="C24" i="24"/>
  <c r="D24" i="24"/>
  <c r="C24" i="2"/>
  <c r="D24" i="2"/>
  <c r="E24" i="2"/>
  <c r="F24" i="2"/>
  <c r="G24" i="2"/>
  <c r="H24" i="2"/>
  <c r="I24" i="2"/>
  <c r="B24" i="2"/>
  <c r="K24" i="2" l="1"/>
  <c r="J24" i="2"/>
  <c r="C24" i="19"/>
  <c r="F24" i="24" l="1"/>
  <c r="C24" i="13"/>
  <c r="D24" i="13"/>
  <c r="E24" i="13"/>
  <c r="B24" i="13"/>
  <c r="B24" i="19"/>
  <c r="G24" i="13" l="1"/>
  <c r="F24" i="13"/>
  <c r="C23" i="27"/>
  <c r="D24" i="4" l="1"/>
  <c r="C17" i="34" l="1"/>
  <c r="C22" i="23" l="1"/>
  <c r="C24" i="39" l="1"/>
  <c r="D24" i="39"/>
  <c r="E24" i="39"/>
  <c r="F24" i="39"/>
  <c r="G24" i="39"/>
  <c r="B24" i="39"/>
  <c r="C24" i="15"/>
  <c r="D24" i="15"/>
  <c r="E24" i="15"/>
  <c r="F24" i="15"/>
  <c r="G24" i="15"/>
  <c r="B24" i="15"/>
  <c r="C24" i="16"/>
  <c r="D24" i="16"/>
  <c r="E24" i="16"/>
  <c r="F24" i="16"/>
  <c r="G24" i="16"/>
  <c r="H24" i="16"/>
  <c r="I24" i="16"/>
  <c r="B24" i="16"/>
  <c r="C24" i="17"/>
  <c r="D24" i="17"/>
  <c r="E24" i="17"/>
  <c r="F24" i="17"/>
  <c r="G24" i="17"/>
  <c r="B24" i="17"/>
  <c r="H24" i="39" l="1"/>
  <c r="C24" i="10"/>
  <c r="D24" i="10"/>
  <c r="E24" i="10"/>
  <c r="F24" i="10"/>
  <c r="G24" i="10"/>
  <c r="B24" i="10"/>
  <c r="C24" i="8"/>
  <c r="D24" i="8"/>
  <c r="E24" i="8"/>
  <c r="F24" i="8"/>
  <c r="G24" i="8"/>
  <c r="H24" i="8"/>
  <c r="I24" i="8"/>
  <c r="B24" i="8"/>
  <c r="C24" i="9"/>
  <c r="D24" i="9"/>
  <c r="E24" i="9"/>
  <c r="F24" i="9"/>
  <c r="G24" i="9"/>
  <c r="H24" i="9"/>
  <c r="I24" i="9"/>
  <c r="J24" i="9"/>
  <c r="K24" i="9"/>
  <c r="B24" i="9"/>
  <c r="C24" i="3"/>
  <c r="D24" i="3"/>
  <c r="E24" i="3"/>
  <c r="B24" i="3"/>
  <c r="E24" i="4"/>
  <c r="F24" i="4"/>
  <c r="G24" i="4"/>
  <c r="H24" i="4"/>
  <c r="I24" i="4"/>
  <c r="B24" i="4"/>
  <c r="C24" i="4"/>
  <c r="H24" i="10" l="1"/>
  <c r="F24" i="3"/>
  <c r="C24" i="1"/>
  <c r="D24" i="1"/>
  <c r="E24" i="1"/>
  <c r="B24" i="1"/>
  <c r="B24" i="24"/>
  <c r="C24" i="12"/>
  <c r="D24" i="12"/>
  <c r="E24" i="12"/>
  <c r="F24" i="12"/>
  <c r="G24" i="12"/>
  <c r="B24" i="12"/>
  <c r="C24" i="11"/>
  <c r="D24" i="11"/>
  <c r="E24" i="11"/>
  <c r="F24" i="11"/>
  <c r="G24" i="11"/>
  <c r="H24" i="11"/>
  <c r="I24" i="11"/>
  <c r="B24" i="11"/>
  <c r="C24" i="29"/>
  <c r="D24" i="29"/>
  <c r="E24" i="29"/>
  <c r="F24" i="29"/>
  <c r="G24" i="29"/>
  <c r="B24" i="29"/>
  <c r="C24" i="7"/>
  <c r="D24" i="7"/>
  <c r="E24" i="7"/>
  <c r="B24" i="7"/>
  <c r="G24" i="7"/>
  <c r="F24" i="7"/>
  <c r="C24" i="5"/>
  <c r="D24" i="5"/>
  <c r="E24" i="5"/>
  <c r="B24" i="5"/>
  <c r="C24" i="18"/>
  <c r="D24" i="18"/>
  <c r="E24" i="18"/>
  <c r="F24" i="18"/>
  <c r="G24" i="18"/>
  <c r="H24" i="18"/>
  <c r="I24" i="18"/>
  <c r="B24" i="18"/>
  <c r="C24" i="32"/>
  <c r="D24" i="32"/>
  <c r="E24" i="32"/>
  <c r="F24" i="32"/>
  <c r="G24" i="32"/>
  <c r="H24" i="32"/>
  <c r="B24" i="32"/>
  <c r="G24" i="1" l="1"/>
  <c r="F24" i="1"/>
  <c r="I24" i="29"/>
  <c r="H24" i="29"/>
  <c r="F24" i="5"/>
  <c r="G24" i="5"/>
  <c r="I24" i="32"/>
  <c r="D22" i="23" l="1"/>
  <c r="B22" i="23"/>
  <c r="D17" i="34"/>
  <c r="E17" i="34"/>
  <c r="F17" i="34"/>
  <c r="G17" i="34"/>
  <c r="H17" i="34"/>
  <c r="D23" i="27"/>
  <c r="E23" i="27"/>
  <c r="F23" i="27"/>
  <c r="G23" i="27"/>
  <c r="H23" i="27"/>
  <c r="I23" i="27"/>
  <c r="D24" i="19"/>
  <c r="E24" i="19"/>
  <c r="F24" i="19"/>
  <c r="B15" i="21" l="1"/>
  <c r="F23" i="22" l="1"/>
  <c r="D23" i="22"/>
  <c r="B23" i="22"/>
  <c r="J23" i="22"/>
  <c r="K23" i="22" s="1"/>
  <c r="G23" i="22" l="1"/>
  <c r="C23" i="22"/>
  <c r="E23" i="22"/>
  <c r="F24" i="6" l="1"/>
  <c r="D24" i="6"/>
  <c r="B24" i="6"/>
  <c r="E24" i="6"/>
  <c r="C24" i="6"/>
  <c r="G24" i="6" l="1"/>
  <c r="E24" i="20"/>
  <c r="G15" i="21" l="1"/>
  <c r="F15" i="21"/>
  <c r="E15" i="21"/>
  <c r="D15" i="21"/>
  <c r="C15" i="21"/>
  <c r="I15" i="21"/>
  <c r="F24" i="20"/>
  <c r="D24" i="20"/>
  <c r="C24" i="20"/>
  <c r="B24" i="20"/>
  <c r="H15" i="21" l="1"/>
  <c r="J15" i="21"/>
</calcChain>
</file>

<file path=xl/sharedStrings.xml><?xml version="1.0" encoding="utf-8"?>
<sst xmlns="http://schemas.openxmlformats.org/spreadsheetml/2006/main" count="2019" uniqueCount="488">
  <si>
    <t>المجموع</t>
  </si>
  <si>
    <t>Total</t>
  </si>
  <si>
    <t>صلاح الدين</t>
  </si>
  <si>
    <t>ديالى</t>
  </si>
  <si>
    <t>بغداد</t>
  </si>
  <si>
    <t>بابل</t>
  </si>
  <si>
    <t>كربلاء</t>
  </si>
  <si>
    <t>النجف</t>
  </si>
  <si>
    <t>القادسية</t>
  </si>
  <si>
    <t>المثنى</t>
  </si>
  <si>
    <t>ذي قار</t>
  </si>
  <si>
    <t>واسط</t>
  </si>
  <si>
    <t>ميسان</t>
  </si>
  <si>
    <t>البصرة</t>
  </si>
  <si>
    <t>Salah AL-Deen</t>
  </si>
  <si>
    <t>Diala</t>
  </si>
  <si>
    <t>Baghdad</t>
  </si>
  <si>
    <t>Al-Najaf</t>
  </si>
  <si>
    <t>Al-Qadisiya</t>
  </si>
  <si>
    <t>Al-Muthanna</t>
  </si>
  <si>
    <t>Thi-Qar</t>
  </si>
  <si>
    <t>Wasit</t>
  </si>
  <si>
    <t>Basrah</t>
  </si>
  <si>
    <t>Babylon</t>
  </si>
  <si>
    <t>Maysan</t>
  </si>
  <si>
    <t>Governorate</t>
  </si>
  <si>
    <t>العدد</t>
  </si>
  <si>
    <t>Number</t>
  </si>
  <si>
    <t xml:space="preserve">Cost </t>
  </si>
  <si>
    <t>كركوك</t>
  </si>
  <si>
    <t>Karkuk</t>
  </si>
  <si>
    <t>بوري</t>
  </si>
  <si>
    <t>سنك</t>
  </si>
  <si>
    <t>حمام كامل ملون</t>
  </si>
  <si>
    <t>طن</t>
  </si>
  <si>
    <t>سركت بريكر</t>
  </si>
  <si>
    <t>حديدية</t>
  </si>
  <si>
    <t>المنيوم</t>
  </si>
  <si>
    <t>انابيب بلاستيكية</t>
  </si>
  <si>
    <t>م</t>
  </si>
  <si>
    <t>m</t>
  </si>
  <si>
    <t>عادي</t>
  </si>
  <si>
    <t>فني</t>
  </si>
  <si>
    <t>بلكات</t>
  </si>
  <si>
    <t>مشطفة</t>
  </si>
  <si>
    <t>سويج رئيسي</t>
  </si>
  <si>
    <t>سويجات</t>
  </si>
  <si>
    <t>المحافظـة</t>
  </si>
  <si>
    <t>المحافظـــة</t>
  </si>
  <si>
    <t>المحافظــــة</t>
  </si>
  <si>
    <t>Table (16)</t>
  </si>
  <si>
    <t>المحافظة</t>
  </si>
  <si>
    <t xml:space="preserve">منهول </t>
  </si>
  <si>
    <t xml:space="preserve">خزان ماء </t>
  </si>
  <si>
    <t>انابيب آهين</t>
  </si>
  <si>
    <t>المحافظــة</t>
  </si>
  <si>
    <t>فرفوري</t>
  </si>
  <si>
    <t>موزائيك</t>
  </si>
  <si>
    <t>موزائيك صب موقعي</t>
  </si>
  <si>
    <t>مرمر</t>
  </si>
  <si>
    <t>سيراميك</t>
  </si>
  <si>
    <t>شتايكر</t>
  </si>
  <si>
    <t>صبات درج</t>
  </si>
  <si>
    <t>خشب</t>
  </si>
  <si>
    <t>عدد</t>
  </si>
  <si>
    <t>لتر</t>
  </si>
  <si>
    <t>لباد</t>
  </si>
  <si>
    <t>مبيد حشرات</t>
  </si>
  <si>
    <t>مانع الرطوبة</t>
  </si>
  <si>
    <t>قير</t>
  </si>
  <si>
    <t>زجاج</t>
  </si>
  <si>
    <t>Table (3)</t>
  </si>
  <si>
    <t>عدد الغرف</t>
  </si>
  <si>
    <t xml:space="preserve">عدد الدكاكين </t>
  </si>
  <si>
    <t>مساحة العرصة</t>
  </si>
  <si>
    <t>مساحة البناء</t>
  </si>
  <si>
    <t>الكلفة التخمينية</t>
  </si>
  <si>
    <t>المحافظــــــــة</t>
  </si>
  <si>
    <t>مساحة البناء (م²)</t>
  </si>
  <si>
    <t xml:space="preserve">الكلفة التخمينية  </t>
  </si>
  <si>
    <t>جديـــــــــــــــــــــــد</t>
  </si>
  <si>
    <t xml:space="preserve">إضافــــــــــــــــــــــــة </t>
  </si>
  <si>
    <t>Table( 2 )</t>
  </si>
  <si>
    <t>Cost</t>
  </si>
  <si>
    <t>عمال غير ماهرين</t>
  </si>
  <si>
    <t>عمال شبه ماهرين</t>
  </si>
  <si>
    <t>عمال ماهرين</t>
  </si>
  <si>
    <t>Unskilled Workers</t>
  </si>
  <si>
    <t>Semi Skilled Workers</t>
  </si>
  <si>
    <t>Skilled Workers</t>
  </si>
  <si>
    <t>الاجور</t>
  </si>
  <si>
    <t>Wages</t>
  </si>
  <si>
    <t>قيمة المواد الانشائية</t>
  </si>
  <si>
    <t>الأجور المدفوعة</t>
  </si>
  <si>
    <t>الكلفة الكلية</t>
  </si>
  <si>
    <t>Paid wages</t>
  </si>
  <si>
    <t>شيش</t>
  </si>
  <si>
    <t xml:space="preserve">طن </t>
  </si>
  <si>
    <t>Table ( 5 )</t>
  </si>
  <si>
    <t>عدد الطوابق</t>
  </si>
  <si>
    <t>عدد الشقق</t>
  </si>
  <si>
    <t>عدد الدكاكين</t>
  </si>
  <si>
    <t>TOTAL</t>
  </si>
  <si>
    <t>Table ( 7 )</t>
  </si>
  <si>
    <t>Table ( 8 )</t>
  </si>
  <si>
    <t>مقاوم</t>
  </si>
  <si>
    <t>ابيض</t>
  </si>
  <si>
    <t>Bricks</t>
  </si>
  <si>
    <t>عدد المعامل</t>
  </si>
  <si>
    <t>مساحة العرصة (م²)</t>
  </si>
  <si>
    <t xml:space="preserve">  مساحة البناء (  م²)</t>
  </si>
  <si>
    <t>Table ( 11 )</t>
  </si>
  <si>
    <t xml:space="preserve">     الكلفة التخمينية   </t>
  </si>
  <si>
    <t xml:space="preserve">الكلفة التخمينية </t>
  </si>
  <si>
    <t xml:space="preserve">  الكلفة التخمينية  </t>
  </si>
  <si>
    <t xml:space="preserve">    الكلفة التخمينية       </t>
  </si>
  <si>
    <t xml:space="preserve">       الكلفة التخمينية            </t>
  </si>
  <si>
    <t xml:space="preserve">الكلفة التخمينية           </t>
  </si>
  <si>
    <t>L</t>
  </si>
  <si>
    <t>m²</t>
  </si>
  <si>
    <t>No.</t>
  </si>
  <si>
    <t>m³</t>
  </si>
  <si>
    <t>ton</t>
  </si>
  <si>
    <t xml:space="preserve">Area of Land    </t>
  </si>
  <si>
    <t xml:space="preserve">Area of Building </t>
  </si>
  <si>
    <t xml:space="preserve">Area of Land </t>
  </si>
  <si>
    <t xml:space="preserve">Est. Cost </t>
  </si>
  <si>
    <t xml:space="preserve">      Est. Cost</t>
  </si>
  <si>
    <t>المحافظه</t>
  </si>
  <si>
    <t xml:space="preserve">Building Area </t>
  </si>
  <si>
    <t xml:space="preserve">Land Area </t>
  </si>
  <si>
    <t xml:space="preserve">المحافظــــــــة        </t>
  </si>
  <si>
    <t>Shops</t>
  </si>
  <si>
    <t xml:space="preserve"> Shops</t>
  </si>
  <si>
    <t xml:space="preserve">Est.Cost </t>
  </si>
  <si>
    <t>Stone</t>
  </si>
  <si>
    <t>New Building</t>
  </si>
  <si>
    <t>بناء جديد</t>
  </si>
  <si>
    <t>irons</t>
  </si>
  <si>
    <t>Flats</t>
  </si>
  <si>
    <t>New building</t>
  </si>
  <si>
    <t>New buildings</t>
  </si>
  <si>
    <t xml:space="preserve">خشب صاج    </t>
  </si>
  <si>
    <t xml:space="preserve">خشب جام           </t>
  </si>
  <si>
    <t>Ton</t>
  </si>
  <si>
    <t>Eest.Cost</t>
  </si>
  <si>
    <t>New</t>
  </si>
  <si>
    <t>Rooms</t>
  </si>
  <si>
    <t xml:space="preserve">     No.</t>
  </si>
  <si>
    <t xml:space="preserve">   No.</t>
  </si>
  <si>
    <t>Aluminum</t>
  </si>
  <si>
    <t>Wire</t>
  </si>
  <si>
    <t>Wood Jam</t>
  </si>
  <si>
    <t>Iron</t>
  </si>
  <si>
    <t>Normal</t>
  </si>
  <si>
    <t>Art</t>
  </si>
  <si>
    <t>Water tank</t>
  </si>
  <si>
    <t>Glass</t>
  </si>
  <si>
    <t>Taps</t>
  </si>
  <si>
    <t xml:space="preserve">تراب         </t>
  </si>
  <si>
    <t xml:space="preserve"> جص</t>
  </si>
  <si>
    <t xml:space="preserve"> تأسيسات صحية            </t>
  </si>
  <si>
    <t xml:space="preserve"> تأسيسات صحية</t>
  </si>
  <si>
    <t xml:space="preserve"> مواد انشائية اخرى</t>
  </si>
  <si>
    <t>Other Constructions Material</t>
  </si>
  <si>
    <t xml:space="preserve"> بلوك        </t>
  </si>
  <si>
    <t xml:space="preserve"> طابوق</t>
  </si>
  <si>
    <t xml:space="preserve"> تأسيسات كهربائية</t>
  </si>
  <si>
    <t xml:space="preserve">        أبواب</t>
  </si>
  <si>
    <t>حصى</t>
  </si>
  <si>
    <t>Sand</t>
  </si>
  <si>
    <t>Table ( 9 )</t>
  </si>
  <si>
    <t xml:space="preserve">Residential </t>
  </si>
  <si>
    <t>Social Purposes</t>
  </si>
  <si>
    <t>cost</t>
  </si>
  <si>
    <t xml:space="preserve">المجمـــوع    </t>
  </si>
  <si>
    <t>م²</t>
  </si>
  <si>
    <t>n.</t>
  </si>
  <si>
    <t>الكلفة التخمينيه</t>
  </si>
  <si>
    <t>cement</t>
  </si>
  <si>
    <t>مساحة العرصة (م)²</t>
  </si>
  <si>
    <t>م³</t>
  </si>
  <si>
    <t>تاسيسات صحية</t>
  </si>
  <si>
    <t>فلنتكـوت عازل</t>
  </si>
  <si>
    <t>NO.</t>
  </si>
  <si>
    <t>Table(1 )</t>
  </si>
  <si>
    <t>مساحة البناء م²</t>
  </si>
  <si>
    <t>مكسر</t>
  </si>
  <si>
    <t>اسود</t>
  </si>
  <si>
    <t>احمر</t>
  </si>
  <si>
    <t>Ceramics</t>
  </si>
  <si>
    <t>Steiger</t>
  </si>
  <si>
    <t>العدد : بالالف</t>
  </si>
  <si>
    <t>الكلفه:الف دينار</t>
  </si>
  <si>
    <r>
      <t>مساحة العرصة (م</t>
    </r>
    <r>
      <rPr>
        <b/>
        <sz val="11"/>
        <rFont val="Calibri"/>
        <family val="2"/>
      </rPr>
      <t>²)</t>
    </r>
  </si>
  <si>
    <t xml:space="preserve">  الكلفة التخمينية        </t>
  </si>
  <si>
    <t>الاجور:الف دينار</t>
  </si>
  <si>
    <t xml:space="preserve">      عادي</t>
  </si>
  <si>
    <t xml:space="preserve">     جمهوري</t>
  </si>
  <si>
    <t xml:space="preserve">     حجم كبير</t>
  </si>
  <si>
    <t xml:space="preserve">   حجم متوسط</t>
  </si>
  <si>
    <t xml:space="preserve">    حجم صغير</t>
  </si>
  <si>
    <t xml:space="preserve">Small size   </t>
  </si>
  <si>
    <t xml:space="preserve">     المجموع</t>
  </si>
  <si>
    <t xml:space="preserve">Total      </t>
  </si>
  <si>
    <t xml:space="preserve">       مقطع</t>
  </si>
  <si>
    <t xml:space="preserve">        خام</t>
  </si>
  <si>
    <t xml:space="preserve">Raw       </t>
  </si>
  <si>
    <t xml:space="preserve">      المجموع</t>
  </si>
  <si>
    <t xml:space="preserve">Total         </t>
  </si>
  <si>
    <t>حجر</t>
  </si>
  <si>
    <t xml:space="preserve">Meduim size   </t>
  </si>
  <si>
    <r>
      <t>م</t>
    </r>
    <r>
      <rPr>
        <b/>
        <sz val="11"/>
        <rFont val="Calibri"/>
        <family val="2"/>
      </rPr>
      <t>²</t>
    </r>
  </si>
  <si>
    <r>
      <t>m</t>
    </r>
    <r>
      <rPr>
        <b/>
        <sz val="11"/>
        <rFont val="Calibri"/>
        <family val="2"/>
      </rPr>
      <t>²</t>
    </r>
  </si>
  <si>
    <t xml:space="preserve">      شيلمان</t>
  </si>
  <si>
    <t>الكلفة</t>
  </si>
  <si>
    <t>كلفة</t>
  </si>
  <si>
    <t xml:space="preserve"> الكلفة</t>
  </si>
  <si>
    <t xml:space="preserve">     الكلفة                    </t>
  </si>
  <si>
    <t xml:space="preserve">       سلك</t>
  </si>
  <si>
    <t xml:space="preserve">     مراحيض</t>
  </si>
  <si>
    <t xml:space="preserve">Toilets     </t>
  </si>
  <si>
    <t xml:space="preserve">       بانيو</t>
  </si>
  <si>
    <t xml:space="preserve">     مغاسل</t>
  </si>
  <si>
    <r>
      <t>م</t>
    </r>
    <r>
      <rPr>
        <b/>
        <sz val="11"/>
        <rFont val="Aharoni"/>
        <charset val="177"/>
      </rPr>
      <t>²</t>
    </r>
  </si>
  <si>
    <r>
      <t>m</t>
    </r>
    <r>
      <rPr>
        <b/>
        <sz val="11"/>
        <rFont val="Aharoni"/>
        <charset val="177"/>
      </rPr>
      <t>²</t>
    </r>
  </si>
  <si>
    <r>
      <t>م</t>
    </r>
    <r>
      <rPr>
        <b/>
        <sz val="11"/>
        <rFont val="Aharoni"/>
        <charset val="177"/>
      </rPr>
      <t>³</t>
    </r>
  </si>
  <si>
    <r>
      <t>m</t>
    </r>
    <r>
      <rPr>
        <b/>
        <sz val="11"/>
        <rFont val="Aharoni"/>
        <charset val="177"/>
      </rPr>
      <t>³</t>
    </r>
  </si>
  <si>
    <r>
      <t>m</t>
    </r>
    <r>
      <rPr>
        <b/>
        <sz val="11"/>
        <rFont val="Calibri"/>
        <family val="2"/>
      </rPr>
      <t>³</t>
    </r>
  </si>
  <si>
    <t xml:space="preserve">   سقوف ثانويه</t>
  </si>
  <si>
    <t xml:space="preserve">   شبابيك الدكتات</t>
  </si>
  <si>
    <t>Republican</t>
  </si>
  <si>
    <t>Metal</t>
  </si>
  <si>
    <t>pluge</t>
  </si>
  <si>
    <t>Dust</t>
  </si>
  <si>
    <t>Secondary ceilings</t>
  </si>
  <si>
    <t xml:space="preserve">         كتائب الشبابيك</t>
  </si>
  <si>
    <t>Resistant</t>
  </si>
  <si>
    <t xml:space="preserve">Bath tub    </t>
  </si>
  <si>
    <t>Snik</t>
  </si>
  <si>
    <t>Rubber</t>
  </si>
  <si>
    <t xml:space="preserve">دور سكن  </t>
  </si>
  <si>
    <t xml:space="preserve">Dwelling </t>
  </si>
  <si>
    <t xml:space="preserve">العمارات السكنية </t>
  </si>
  <si>
    <t xml:space="preserve">العمارات التجارية </t>
  </si>
  <si>
    <t>Commercial</t>
  </si>
  <si>
    <t xml:space="preserve">أبنية  صناعية  </t>
  </si>
  <si>
    <t>Industrial</t>
  </si>
  <si>
    <t xml:space="preserve">أبنية  تجارية </t>
  </si>
  <si>
    <t>أبنية اجتماعية</t>
  </si>
  <si>
    <t xml:space="preserve">المجموع     </t>
  </si>
  <si>
    <t>الكلفة الكلية (مليون )</t>
  </si>
  <si>
    <t xml:space="preserve"> بلاط الارضية     (كاشي)</t>
  </si>
  <si>
    <t>Million</t>
  </si>
  <si>
    <t>Thrmeston</t>
  </si>
  <si>
    <t>Grit</t>
  </si>
  <si>
    <t>Marble</t>
  </si>
  <si>
    <t>Mosaic</t>
  </si>
  <si>
    <t>Floor tile</t>
  </si>
  <si>
    <t xml:space="preserve">Mosaic </t>
  </si>
  <si>
    <t xml:space="preserve">cost </t>
  </si>
  <si>
    <t>Tar</t>
  </si>
  <si>
    <t>Insecticide</t>
  </si>
  <si>
    <t>Flintcoat</t>
  </si>
  <si>
    <t>Duct windows</t>
  </si>
  <si>
    <t>Cast iron</t>
  </si>
  <si>
    <t>Tube</t>
  </si>
  <si>
    <t>Key</t>
  </si>
  <si>
    <t>Keys</t>
  </si>
  <si>
    <t>Washbasin</t>
  </si>
  <si>
    <t>Keyhole</t>
  </si>
  <si>
    <t>Bidet</t>
  </si>
  <si>
    <t>Slighted tubes</t>
  </si>
  <si>
    <t xml:space="preserve">Colored Bathroom </t>
  </si>
  <si>
    <t>Factories</t>
  </si>
  <si>
    <t>Addition</t>
  </si>
  <si>
    <t xml:space="preserve">  Rooms</t>
  </si>
  <si>
    <t>Red</t>
  </si>
  <si>
    <t>Black</t>
  </si>
  <si>
    <t>White</t>
  </si>
  <si>
    <t>Wood saj</t>
  </si>
  <si>
    <t>Wood</t>
  </si>
  <si>
    <t>Moisture Anti</t>
  </si>
  <si>
    <t xml:space="preserve">Big size   </t>
  </si>
  <si>
    <t xml:space="preserve">Broken    </t>
  </si>
  <si>
    <t>Broken</t>
  </si>
  <si>
    <t>العدد : الف بلوكه</t>
  </si>
  <si>
    <t>Conclusively   cycle</t>
  </si>
  <si>
    <t xml:space="preserve">الكلفة : الف دينار </t>
  </si>
  <si>
    <t>Dwellings Built</t>
  </si>
  <si>
    <t>AverageNumber of Employees</t>
  </si>
  <si>
    <t>Value ​​of Construction materials</t>
  </si>
  <si>
    <t>Residential Buildings</t>
  </si>
  <si>
    <t>WagesPaid</t>
  </si>
  <si>
    <t>Type of  Building</t>
  </si>
  <si>
    <t xml:space="preserve">New Dwellings </t>
  </si>
  <si>
    <t>Table (4)   Additions</t>
  </si>
  <si>
    <t>Flour</t>
  </si>
  <si>
    <t>Additions</t>
  </si>
  <si>
    <t xml:space="preserve">  Cement Bricks</t>
  </si>
  <si>
    <t>Plaster</t>
  </si>
  <si>
    <t>Floor Tile</t>
  </si>
  <si>
    <t>Windows</t>
  </si>
  <si>
    <t>Electrical Enstallation</t>
  </si>
  <si>
    <t>Sanitary Enstallation</t>
  </si>
  <si>
    <t xml:space="preserve">         Plastic Tubes</t>
  </si>
  <si>
    <t>Steps to Staires</t>
  </si>
  <si>
    <t>Frame For Windows</t>
  </si>
  <si>
    <t>TotalCost</t>
  </si>
  <si>
    <t>Value of construction Materials</t>
  </si>
  <si>
    <t xml:space="preserve"> year</t>
  </si>
  <si>
    <t>Est.Cost</t>
  </si>
  <si>
    <t>Porcelain</t>
  </si>
  <si>
    <t>Total Cost</t>
  </si>
  <si>
    <t xml:space="preserve">الانبار </t>
  </si>
  <si>
    <t>Al-Anbar</t>
  </si>
  <si>
    <t xml:space="preserve">المجموع </t>
  </si>
  <si>
    <t xml:space="preserve">عدد الطوابق </t>
  </si>
  <si>
    <t xml:space="preserve">عدد الغرف </t>
  </si>
  <si>
    <t>الانبار</t>
  </si>
  <si>
    <t xml:space="preserve">                                                                                                                                                                                                          </t>
  </si>
  <si>
    <t xml:space="preserve">   </t>
  </si>
  <si>
    <t xml:space="preserve">                                                  </t>
  </si>
  <si>
    <t xml:space="preserve">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</si>
  <si>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</si>
  <si>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</t>
  </si>
  <si>
    <t>انابيب بوري</t>
  </si>
  <si>
    <t xml:space="preserve"> عدد</t>
  </si>
  <si>
    <t>نينوى</t>
  </si>
  <si>
    <t>عدد الابنيه الصناعيه</t>
  </si>
  <si>
    <t>عدد الفنادق</t>
  </si>
  <si>
    <t>عدد المطاعم</t>
  </si>
  <si>
    <t>عدد الكازينوات</t>
  </si>
  <si>
    <t>Hotels</t>
  </si>
  <si>
    <t>Restaurants</t>
  </si>
  <si>
    <t>Casinos</t>
  </si>
  <si>
    <t>ابنية تجارية اخرى</t>
  </si>
  <si>
    <t>Building</t>
  </si>
  <si>
    <t>Other Commercil</t>
  </si>
  <si>
    <t>عدد الابنية الصحية</t>
  </si>
  <si>
    <t>Healthy</t>
  </si>
  <si>
    <t>اجور الاخرى</t>
  </si>
  <si>
    <t>ADDITIONS</t>
  </si>
  <si>
    <t>Table ( 10 )</t>
  </si>
  <si>
    <t>ثرمستون</t>
  </si>
  <si>
    <t>مواد  انشائية اخرى</t>
  </si>
  <si>
    <t>TOTL</t>
  </si>
  <si>
    <t>Other Wages</t>
  </si>
  <si>
    <t>السنوات</t>
  </si>
  <si>
    <t xml:space="preserve"> العدد</t>
  </si>
  <si>
    <t>عدد الورشات</t>
  </si>
  <si>
    <t xml:space="preserve">دينية </t>
  </si>
  <si>
    <t>Area of Land</t>
  </si>
  <si>
    <t>اضافة</t>
  </si>
  <si>
    <t>No</t>
  </si>
  <si>
    <t>اصباغ زيتية</t>
  </si>
  <si>
    <t>انابيب كونكريتية</t>
  </si>
  <si>
    <t xml:space="preserve"> </t>
  </si>
  <si>
    <t>المجموع الكلي للكلفة</t>
  </si>
  <si>
    <t>حديد</t>
  </si>
  <si>
    <t>إضافة</t>
  </si>
  <si>
    <t>الكلفة:الف دينار</t>
  </si>
  <si>
    <t>عدد الأبنية الدينية</t>
  </si>
  <si>
    <t>عدد الأبنية الخدمية</t>
  </si>
  <si>
    <t>Religious</t>
  </si>
  <si>
    <t>Service</t>
  </si>
  <si>
    <t>العدد : الف طابوقة</t>
  </si>
  <si>
    <t>الكلفة : الف دينار</t>
  </si>
  <si>
    <t>مجموع الكلف</t>
  </si>
  <si>
    <t xml:space="preserve">     قيمة المواد الانشائية(مليون)</t>
  </si>
  <si>
    <t xml:space="preserve"> الاجور المدفوعة    (مليون)</t>
  </si>
  <si>
    <t xml:space="preserve"> العمارات السكنية(عدد) </t>
  </si>
  <si>
    <t>السنة</t>
  </si>
  <si>
    <t>مجموع الاجور الكلية</t>
  </si>
  <si>
    <t>عدد الأبنية الخدمية الاخرى</t>
  </si>
  <si>
    <t xml:space="preserve">عدد العاملين </t>
  </si>
  <si>
    <t xml:space="preserve">عدد الدور المشيدة </t>
  </si>
  <si>
    <t>اجور العاملين</t>
  </si>
  <si>
    <t>Nineveh</t>
  </si>
  <si>
    <t>Karbala</t>
  </si>
  <si>
    <t xml:space="preserve">جدول (1) </t>
  </si>
  <si>
    <t>نوع البناء</t>
  </si>
  <si>
    <t xml:space="preserve">       (2) جدول     </t>
  </si>
  <si>
    <t>دور جديدة</t>
  </si>
  <si>
    <t xml:space="preserve">     (3)جدول</t>
  </si>
  <si>
    <t xml:space="preserve">(4)جدول  </t>
  </si>
  <si>
    <t>اضافات البناء</t>
  </si>
  <si>
    <t xml:space="preserve">(5)جدول </t>
  </si>
  <si>
    <t>Table (6 )</t>
  </si>
  <si>
    <t>(6)جدول</t>
  </si>
  <si>
    <t>(8) جدول</t>
  </si>
  <si>
    <t>(7) جدول</t>
  </si>
  <si>
    <t xml:space="preserve">    بناء جديد</t>
  </si>
  <si>
    <t xml:space="preserve">  (9) جدول</t>
  </si>
  <si>
    <t>عدد الابنية الصناعية الاخرى</t>
  </si>
  <si>
    <t>(10) جدول</t>
  </si>
  <si>
    <t>(11) جدول</t>
  </si>
  <si>
    <t>Table (12)</t>
  </si>
  <si>
    <t>(12) جدول</t>
  </si>
  <si>
    <t xml:space="preserve">Table( 13 ) </t>
  </si>
  <si>
    <t>(13) جدول رقم</t>
  </si>
  <si>
    <t>Table (14)</t>
  </si>
  <si>
    <t>(14) جدول</t>
  </si>
  <si>
    <t>(15) جدول</t>
  </si>
  <si>
    <t xml:space="preserve">Table ( 15 ) </t>
  </si>
  <si>
    <t xml:space="preserve"> (15) تابع جدول</t>
  </si>
  <si>
    <t xml:space="preserve">Con.  (15) </t>
  </si>
  <si>
    <t xml:space="preserve">Con. (15) </t>
  </si>
  <si>
    <t>Con. (15)</t>
  </si>
  <si>
    <t>سمنت</t>
  </si>
  <si>
    <t>(15) تابع جدول</t>
  </si>
  <si>
    <t>FollowingTable ( 15 )</t>
  </si>
  <si>
    <t xml:space="preserve">Con. ( 15)        </t>
  </si>
  <si>
    <t>شبابيك</t>
  </si>
  <si>
    <t>تأسيسات كهربائية</t>
  </si>
  <si>
    <t>مواد انشائية اخرى</t>
  </si>
  <si>
    <t xml:space="preserve">con. ( 15 )              Other constuction material                                           </t>
  </si>
  <si>
    <t xml:space="preserve"> (16)  جدول</t>
  </si>
  <si>
    <t>Con. (15)         Doors</t>
  </si>
  <si>
    <t xml:space="preserve">2025 العاملين ومجموع الاجور المدفوعة لهم حسب اصنافهم حسب المحافظات لسنة   </t>
  </si>
  <si>
    <t>(2025)   دور السكن (الجديدة ) المنجزة  حسب المحافظات  لسنة</t>
  </si>
  <si>
    <t xml:space="preserve">2025  الاضافات لدور السكن المنجزة  حسب المحافظات لسنة </t>
  </si>
  <si>
    <t xml:space="preserve">2025 العمارات السكنية (الجديدة ) المنجزة  في القطاع الخاص حسب المحافظات لسنة </t>
  </si>
  <si>
    <t>الأنبار</t>
  </si>
  <si>
    <t>AL-Anbar</t>
  </si>
  <si>
    <t>BAGHDAD</t>
  </si>
  <si>
    <t>SALAH AL-deen</t>
  </si>
  <si>
    <t>Al-muthanna</t>
  </si>
  <si>
    <t>2025  ملاحظة :لم يتم منح اجازة لتشييد العمارات السكنية الجديدة للمحافظات المتبقية لسنة .</t>
  </si>
  <si>
    <t>2025 العمارات التجارية (الجديدة ) وملحقاتها المنجزة  حسب المحافظات لسنة</t>
  </si>
  <si>
    <t>karkuk</t>
  </si>
  <si>
    <t>baghdad</t>
  </si>
  <si>
    <t>karbala</t>
  </si>
  <si>
    <t>wasit</t>
  </si>
  <si>
    <t>2025 العمارات التجارية (المضافة) وملحقاتها المنجزة  حسب المحافظات لسنة</t>
  </si>
  <si>
    <t xml:space="preserve">2025 ملاحظة :لم يتم منح اجازة لتشييد للاضافة على العمارات التجارية للمحافظات المتبقية لسنة </t>
  </si>
  <si>
    <t>AL-najaf</t>
  </si>
  <si>
    <t>AL-Basrah</t>
  </si>
  <si>
    <t>2025 ملاحظة: بالنسبة للكازينوهات والمطاعم والفنادق والابنية التجارية لم تردنا لبقية المحافظات لسنة</t>
  </si>
  <si>
    <t>2025 الابنية ( الجديدة ) المنجزة لاغراض التجارة في القطاع الخاص حسب المحافظات لسنة</t>
  </si>
  <si>
    <t xml:space="preserve">2025 الابنية ( المضافة ) المنجزة لاغراض التجارة في القطاع الخاص حسب المحافظات لسنة </t>
  </si>
  <si>
    <t xml:space="preserve">2025 ملاحظة :لم يتم منح اجازة لتشييد الابنية التجارية للمحافظات المتبقية لسنة </t>
  </si>
  <si>
    <t xml:space="preserve">2025 الابنية ( الجديدة ) المنجزة لاغراض الخدمات الاجتماعية في القطاع الخاص حسب المحافظات لسنة </t>
  </si>
  <si>
    <t xml:space="preserve">2025 ملاحظة :لم يتم منح اجازة لتشييد الابنية الاجتماعية للمحافظات المتبقية لسنة </t>
  </si>
  <si>
    <t>Najaf</t>
  </si>
  <si>
    <t>Al-Muthana</t>
  </si>
  <si>
    <t xml:space="preserve"> 2025 الابنية (المضافة) المنجزة لاغراض الخدمات الاجتماعية في القطاع الخاص حسب المحافظات لسنة </t>
  </si>
  <si>
    <t xml:space="preserve">2025 الابنية الصناعية (الجديدة )المنجزة في القطاع الخاص حسب المحافظات لسنة </t>
  </si>
  <si>
    <t>2025 ملاحظة :لم يتم منح اجازة لتشييد الابنية الصناعية للمحافظات المتبقية وكذلك للاضافة والتحوير لسنة .</t>
  </si>
  <si>
    <t xml:space="preserve">2025 الابنية الصناعية (المضافة) المنجزة في القطاع الخاص حسب المحافظات لسنة </t>
  </si>
  <si>
    <t>2025 ملاحظة :لم يتم منح اجازة لتشييد الابنية الصناعية للمحافظات المتبقية لسنة</t>
  </si>
  <si>
    <t xml:space="preserve">2025  كمية وقيمة المواد الانشائية المستخدمة حسب المحافظات لسنة </t>
  </si>
  <si>
    <t xml:space="preserve">2025 كمية وقيمة المواد الانشائية المستخدمة حسب المحافظات لسنة   </t>
  </si>
  <si>
    <t xml:space="preserve">2025 كمية وقيمة المواد الانشائية المستخدمة حسب المحافظات لسنة </t>
  </si>
  <si>
    <t>2025 كمية وقيمة المواد الانشائية المستخدمة حسب المحافظات لسنة</t>
  </si>
  <si>
    <t>2025 كمية وقيمة المواد الانشائية المستخدمة في البناء حسب المحافظات لسنة</t>
  </si>
  <si>
    <t>2025 كمية وقيمة المواد الانشائية المستخدمة البناء حسب المحافظات لسنة</t>
  </si>
  <si>
    <t xml:space="preserve">  ملاحظة :لم يتم إضافة بناء للعمارات السكنية لجميع المحافظات لسنة 2025 .</t>
  </si>
  <si>
    <t>2025 كلفة المواد الانشائية المستخدمة والاجور المدفوعة لابنية القطاع الخاص حسب المحافظات لسنة</t>
  </si>
  <si>
    <t xml:space="preserve"> (2012-2025 ) الكلفة الكلية  لأبنية القطاع الخاص للسنوات</t>
  </si>
  <si>
    <t>TOTAL COST OF BUILDING IN THE PRIVATE SECTOR FOR  (2012 -2025)</t>
  </si>
  <si>
    <t xml:space="preserve">Key INDICATORS ESTIMATION FOR COMPLETED BUILDINGS IN THE PRIVATE SECTOR BY TYPES OF BUILDING 2025       </t>
  </si>
  <si>
    <t xml:space="preserve"> COMPLETED DWELLINGS IN THE PRIVATE SECTOR BY GOVERNORATE  2025 </t>
  </si>
  <si>
    <t xml:space="preserve">   ADDITION TO HOUSING CONSTRUSTION COMPLETED   IN THE PRIVATE SECTOR BY GOVERNORATE  2025</t>
  </si>
  <si>
    <t>COMPLETED RESIDENTIAL BUILDINGS IN THE PRIVATE SECTOR BY GOVERNORATE  2025</t>
  </si>
  <si>
    <t xml:space="preserve">  COMPLETED COMMERCIAL( NEW) IN THE PRIVATE SECTOR BY GOVERNORATE   2025</t>
  </si>
  <si>
    <t>COMPLETED COMMERCIAL BUILDINGS (ADDITION) IN THE PRIVATE SECTOR BY GOVERNORATE  2025</t>
  </si>
  <si>
    <t xml:space="preserve"> COMPLETED BUILDINGS( NEW) FOR THE  INDUSTRIAL PURPOSES  IN THE PRIVATE SECTOR BY GOVERNORATE FOR THE YAER 2025</t>
  </si>
  <si>
    <t xml:space="preserve"> COMPLETED BUILDINGS( ADDITON) FOR THE  INDUSTRIAL PURPOSES  IN THE PRIVATE SECTOR BY GOVERNORATE FOR THE YAER 2025</t>
  </si>
  <si>
    <t xml:space="preserve"> COMPLETED BUILDINGS (NEW )FOR THE COMMERCIAL PURPOSES IN THE PRIVATE SECTOR BY GOVERNORATE 2025</t>
  </si>
  <si>
    <t xml:space="preserve"> COMPLETED BUILDINGS (ADDITON) FOR THE COMMERCIAL PURPOSES IN THE PRIVATE SECTOR BY GOVERNORATE 2025</t>
  </si>
  <si>
    <t xml:space="preserve"> COMPLETED BUILDINGS ( NEW) FOR THE PURPOSES SOCIAL SERVICES IN THE PRIVATE SECTOR BY GOVERNORATE FOR THE YAER 2025</t>
  </si>
  <si>
    <t xml:space="preserve"> COMPLETED BUILDINGS ( ADDITION) FOR THE PURPOSES OF SOCIAL SERVICES IN THE PRIVATE SECTOR BY GOVERNORATE FOR THE YAER 2025</t>
  </si>
  <si>
    <t xml:space="preserve"> EMPLOYEES AND WAGES IN THE PRIVATE SECTOR BY Kind and GOVERNORATE  2025</t>
  </si>
  <si>
    <t xml:space="preserve">           QUANTITY AND COSTS FOR THE BUILDINGS MATERIAL BY GOVERNORAT  2025                    </t>
  </si>
  <si>
    <t xml:space="preserve">             QUANTITY AND COSTS FOR THE BUILDINGS MATERIAL BY GOVERNORAT  2025                    </t>
  </si>
  <si>
    <t>QUANTITY AND COSTS FOR THE BUILDINGS MATERIAL BY GOVERNORAT  2025</t>
  </si>
  <si>
    <t>QUANTITY AND COSTS FOR THE  BUILDINGS MATERIAL BY GOVERNORAT  2025</t>
  </si>
  <si>
    <t xml:space="preserve">                QUANTITY AND COSTS FOR THE  BUILDINGS MATERIAL BYGOVERNORAT  2025</t>
  </si>
  <si>
    <t xml:space="preserve">        QUANTITY AND COSTS FOR THE BUILDINGS MATERIAL BYGOVERNORAT  2025</t>
  </si>
  <si>
    <t xml:space="preserve">QUANTITY AND COSTS FOR THE  BUILDINGS MATERIAL BY GOVERNORAT FOR THE  YEAR 2025                                                                                                                                                       </t>
  </si>
  <si>
    <t xml:space="preserve">QUANTITY AND COSTS FOR THE BUILDINGS MATERIAL BY GOVERNORAT  2025                                                                                 </t>
  </si>
  <si>
    <t xml:space="preserve"> QUANTITY AND COSTS FOR THE  BUILDINGS MATERIAL BY GOVERNORAT    2025                                                                                            </t>
  </si>
  <si>
    <t xml:space="preserve">           QUANTITY AND COSTS FOR THE BUILDINGS MATERIAL BY GOVERNORAT 2025                                             </t>
  </si>
  <si>
    <t xml:space="preserve">        QUANTITY AND COSTS FOR THE BUILDINGS MATERIAL BY GOVERNORAT  2025                                          </t>
  </si>
  <si>
    <t>COST OF CONSTRUCTION MATERIAL WAGESTRANSPORT IN THE PRIVATE SECTOR  BY GOVERNORATE  2025</t>
  </si>
  <si>
    <t xml:space="preserve">                         (2025)   المؤشرات الرئيسة لتقديرات الابنية المنجزة في القطاع الخاص حسب نوع البناء لسنة  </t>
  </si>
  <si>
    <t>رمل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</si>
</sst>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;[Red]0.00"/>
    <numFmt numFmtId="165" formatCode="#,##0;[Red]#,##0"/>
    <numFmt numFmtId="166" formatCode="#,##0_ ;[Red]\-#,##0\ "/>
    <numFmt numFmtId="167" formatCode="_(* #,##0_);_(* \(#,##0\);_(* &quot;-&quot;??_);_(@_)"/>
    <numFmt numFmtId="168" formatCode="_-* #,##0_-;_-* #,##0\-;_-* &quot;-&quot;??_-;_-@_-"/>
  </numFmts>
  <fonts count="1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333333"/>
      <name val="Arial"/>
      <family val="2"/>
    </font>
    <font>
      <b/>
      <sz val="11"/>
      <color indexed="8"/>
      <name val="Arial"/>
      <family val="2"/>
    </font>
    <font>
      <b/>
      <sz val="11"/>
      <name val="Calibri"/>
      <family val="2"/>
    </font>
    <font>
      <b/>
      <sz val="11"/>
      <color indexed="9"/>
      <name val="Arial"/>
      <family val="2"/>
    </font>
    <font>
      <b/>
      <sz val="11"/>
      <name val="Aharoni"/>
      <charset val="177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1">
    <xf numFmtId="0" fontId="0" fillId="0" borderId="0" xfId="0"/>
    <xf numFmtId="0" fontId="0" fillId="2" borderId="0" xfId="0" applyFill="1"/>
    <xf numFmtId="0" fontId="0" fillId="0" borderId="0" xfId="0" applyBorder="1"/>
    <xf numFmtId="1" fontId="0" fillId="0" borderId="0" xfId="0" applyNumberFormat="1"/>
    <xf numFmtId="0" fontId="0" fillId="0" borderId="0" xfId="0"/>
    <xf numFmtId="0" fontId="1" fillId="0" borderId="0" xfId="0" applyFont="1"/>
    <xf numFmtId="0" fontId="7" fillId="6" borderId="0" xfId="0" applyFont="1" applyFill="1"/>
    <xf numFmtId="0" fontId="7" fillId="6" borderId="0" xfId="0" applyFont="1" applyFill="1" applyBorder="1" applyAlignment="1">
      <alignment horizontal="left" vertical="center" wrapText="1"/>
    </xf>
    <xf numFmtId="0" fontId="9" fillId="0" borderId="0" xfId="0" applyFont="1"/>
    <xf numFmtId="0" fontId="7" fillId="7" borderId="0" xfId="0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7" fillId="2" borderId="0" xfId="0" applyFont="1" applyFill="1"/>
    <xf numFmtId="0" fontId="11" fillId="2" borderId="0" xfId="0" applyFont="1" applyFill="1"/>
    <xf numFmtId="0" fontId="11" fillId="3" borderId="0" xfId="0" applyFont="1" applyFill="1" applyBorder="1" applyAlignment="1">
      <alignment horizontal="right" vertical="center" wrapText="1"/>
    </xf>
    <xf numFmtId="0" fontId="7" fillId="0" borderId="0" xfId="0" applyFont="1"/>
    <xf numFmtId="0" fontId="7" fillId="3" borderId="0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7" fillId="6" borderId="0" xfId="0" applyFont="1" applyFill="1" applyBorder="1" applyAlignment="1">
      <alignment vertical="center" wrapText="1"/>
    </xf>
    <xf numFmtId="0" fontId="7" fillId="7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7" fillId="6" borderId="0" xfId="0" applyFont="1" applyFill="1" applyBorder="1"/>
    <xf numFmtId="0" fontId="7" fillId="3" borderId="2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 wrapText="1"/>
    </xf>
    <xf numFmtId="0" fontId="7" fillId="7" borderId="0" xfId="0" applyFont="1" applyFill="1" applyBorder="1" applyAlignment="1">
      <alignment horizontal="left" vertical="center" wrapText="1"/>
    </xf>
    <xf numFmtId="1" fontId="7" fillId="4" borderId="0" xfId="0" applyNumberFormat="1" applyFont="1" applyFill="1" applyBorder="1" applyAlignment="1">
      <alignment horizontal="righ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3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1" fontId="7" fillId="3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0" fontId="7" fillId="5" borderId="0" xfId="0" applyFont="1" applyFill="1"/>
    <xf numFmtId="0" fontId="7" fillId="7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0" fillId="0" borderId="0" xfId="0" applyAlignment="1"/>
    <xf numFmtId="3" fontId="7" fillId="7" borderId="0" xfId="0" applyNumberFormat="1" applyFont="1" applyFill="1" applyBorder="1" applyAlignment="1">
      <alignment vertical="center" wrapText="1"/>
    </xf>
    <xf numFmtId="3" fontId="7" fillId="6" borderId="0" xfId="0" applyNumberFormat="1" applyFont="1" applyFill="1" applyBorder="1" applyAlignment="1"/>
    <xf numFmtId="3" fontId="7" fillId="4" borderId="0" xfId="0" applyNumberFormat="1" applyFont="1" applyFill="1" applyBorder="1" applyAlignment="1">
      <alignment vertical="center" wrapText="1"/>
    </xf>
    <xf numFmtId="3" fontId="7" fillId="6" borderId="0" xfId="0" applyNumberFormat="1" applyFont="1" applyFill="1" applyBorder="1" applyAlignment="1">
      <alignment vertical="center" wrapText="1"/>
    </xf>
    <xf numFmtId="0" fontId="7" fillId="3" borderId="3" xfId="9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/>
    </xf>
    <xf numFmtId="0" fontId="7" fillId="3" borderId="3" xfId="9" applyFont="1" applyFill="1" applyBorder="1" applyAlignment="1">
      <alignment horizontal="left" vertical="center" wrapText="1"/>
    </xf>
    <xf numFmtId="0" fontId="7" fillId="2" borderId="0" xfId="9" applyFont="1" applyFill="1" applyBorder="1" applyAlignment="1">
      <alignment vertical="center" wrapText="1"/>
    </xf>
    <xf numFmtId="1" fontId="7" fillId="2" borderId="0" xfId="9" applyNumberFormat="1" applyFont="1" applyFill="1" applyBorder="1" applyAlignment="1">
      <alignment vertical="center" wrapText="1"/>
    </xf>
    <xf numFmtId="0" fontId="7" fillId="6" borderId="0" xfId="9" applyFont="1" applyFill="1" applyBorder="1" applyAlignment="1">
      <alignment vertical="center" wrapText="1"/>
    </xf>
    <xf numFmtId="0" fontId="7" fillId="6" borderId="1" xfId="9" applyFont="1" applyFill="1" applyBorder="1" applyAlignment="1">
      <alignment horizontal="center" vertical="center" wrapText="1"/>
    </xf>
    <xf numFmtId="0" fontId="7" fillId="6" borderId="1" xfId="9" applyFont="1" applyFill="1" applyBorder="1" applyAlignment="1">
      <alignment vertical="center" wrapText="1"/>
    </xf>
    <xf numFmtId="1" fontId="7" fillId="6" borderId="0" xfId="9" applyNumberFormat="1" applyFont="1" applyFill="1" applyBorder="1" applyAlignment="1">
      <alignment vertical="center" wrapText="1"/>
    </xf>
    <xf numFmtId="0" fontId="7" fillId="2" borderId="0" xfId="10" applyFont="1" applyFill="1" applyBorder="1" applyAlignment="1">
      <alignment horizontal="center" vertical="center" wrapText="1"/>
    </xf>
    <xf numFmtId="1" fontId="7" fillId="2" borderId="0" xfId="10" applyNumberFormat="1" applyFont="1" applyFill="1" applyBorder="1" applyAlignment="1">
      <alignment horizontal="right" vertical="center" wrapText="1"/>
    </xf>
    <xf numFmtId="0" fontId="7" fillId="2" borderId="0" xfId="10" applyFont="1" applyFill="1"/>
    <xf numFmtId="1" fontId="7" fillId="2" borderId="0" xfId="1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1" fontId="7" fillId="2" borderId="0" xfId="10" applyNumberFormat="1" applyFont="1" applyFill="1" applyBorder="1" applyAlignment="1">
      <alignment horizontal="left" vertical="center" wrapText="1"/>
    </xf>
    <xf numFmtId="1" fontId="7" fillId="2" borderId="0" xfId="10" applyNumberFormat="1" applyFont="1" applyFill="1" applyBorder="1" applyAlignment="1">
      <alignment vertical="center" wrapText="1"/>
    </xf>
    <xf numFmtId="0" fontId="7" fillId="2" borderId="0" xfId="10" applyFont="1" applyFill="1" applyBorder="1" applyAlignment="1">
      <alignment vertical="center" wrapText="1"/>
    </xf>
    <xf numFmtId="1" fontId="7" fillId="6" borderId="1" xfId="10" applyNumberFormat="1" applyFont="1" applyFill="1" applyBorder="1" applyAlignment="1">
      <alignment vertical="center" wrapText="1"/>
    </xf>
    <xf numFmtId="0" fontId="7" fillId="6" borderId="1" xfId="10" applyFont="1" applyFill="1" applyBorder="1" applyAlignment="1">
      <alignment vertical="center" wrapText="1"/>
    </xf>
    <xf numFmtId="0" fontId="7" fillId="6" borderId="1" xfId="10" applyFont="1" applyFill="1" applyBorder="1" applyAlignment="1">
      <alignment horizontal="center" vertical="center" wrapText="1"/>
    </xf>
    <xf numFmtId="1" fontId="7" fillId="3" borderId="3" xfId="4" applyNumberFormat="1" applyFont="1" applyFill="1" applyBorder="1" applyAlignment="1">
      <alignment horizontal="right" vertical="center" wrapText="1"/>
    </xf>
    <xf numFmtId="1" fontId="7" fillId="3" borderId="0" xfId="4" applyNumberFormat="1" applyFont="1" applyFill="1" applyBorder="1" applyAlignment="1">
      <alignment horizontal="center" vertical="center" wrapText="1"/>
    </xf>
    <xf numFmtId="1" fontId="7" fillId="3" borderId="0" xfId="4" applyNumberFormat="1" applyFont="1" applyFill="1" applyBorder="1" applyAlignment="1">
      <alignment horizontal="left" vertical="center" wrapText="1"/>
    </xf>
    <xf numFmtId="1" fontId="7" fillId="3" borderId="3" xfId="4" applyNumberFormat="1" applyFont="1" applyFill="1" applyBorder="1" applyAlignment="1">
      <alignment horizontal="left" vertical="center" wrapText="1"/>
    </xf>
    <xf numFmtId="0" fontId="7" fillId="3" borderId="0" xfId="4" applyFont="1" applyFill="1" applyBorder="1" applyAlignment="1">
      <alignment horizontal="center" vertical="center" wrapText="1"/>
    </xf>
    <xf numFmtId="1" fontId="7" fillId="3" borderId="0" xfId="4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2" borderId="0" xfId="0" applyNumberFormat="1" applyFont="1" applyFill="1"/>
    <xf numFmtId="1" fontId="7" fillId="2" borderId="0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3" borderId="0" xfId="5" applyFont="1" applyFill="1" applyBorder="1" applyAlignment="1">
      <alignment vertical="center" wrapText="1"/>
    </xf>
    <xf numFmtId="1" fontId="7" fillId="2" borderId="0" xfId="11" applyNumberFormat="1" applyFont="1" applyFill="1" applyBorder="1" applyAlignment="1">
      <alignment horizontal="right" vertical="center" wrapText="1"/>
    </xf>
    <xf numFmtId="1" fontId="7" fillId="2" borderId="0" xfId="11" applyNumberFormat="1" applyFont="1" applyFill="1" applyBorder="1" applyAlignment="1">
      <alignment vertical="center" wrapText="1"/>
    </xf>
    <xf numFmtId="1" fontId="7" fillId="2" borderId="3" xfId="11" applyNumberFormat="1" applyFont="1" applyFill="1" applyBorder="1" applyAlignment="1">
      <alignment vertical="center" wrapText="1"/>
    </xf>
    <xf numFmtId="0" fontId="7" fillId="3" borderId="0" xfId="11" applyFont="1" applyFill="1" applyBorder="1" applyAlignment="1">
      <alignment horizontal="center" vertical="center" wrapText="1"/>
    </xf>
    <xf numFmtId="0" fontId="7" fillId="7" borderId="1" xfId="11" applyFont="1" applyFill="1" applyBorder="1" applyAlignment="1">
      <alignment horizontal="center" vertical="center" wrapText="1"/>
    </xf>
    <xf numFmtId="1" fontId="7" fillId="2" borderId="3" xfId="6" applyNumberFormat="1" applyFont="1" applyFill="1" applyBorder="1" applyAlignment="1">
      <alignment vertical="center" wrapText="1"/>
    </xf>
    <xf numFmtId="1" fontId="7" fillId="2" borderId="3" xfId="6" applyNumberFormat="1" applyFont="1" applyFill="1" applyBorder="1" applyAlignment="1">
      <alignment horizontal="right" vertical="center" wrapText="1"/>
    </xf>
    <xf numFmtId="1" fontId="7" fillId="2" borderId="3" xfId="6" applyNumberFormat="1" applyFont="1" applyFill="1" applyBorder="1" applyAlignment="1">
      <alignment horizontal="left" vertical="center" wrapText="1"/>
    </xf>
    <xf numFmtId="0" fontId="7" fillId="7" borderId="0" xfId="6" applyFont="1" applyFill="1" applyBorder="1" applyAlignment="1">
      <alignment vertical="center" wrapText="1"/>
    </xf>
    <xf numFmtId="0" fontId="7" fillId="3" borderId="0" xfId="6" applyFont="1" applyFill="1" applyBorder="1" applyAlignment="1">
      <alignment vertical="center" wrapText="1"/>
    </xf>
    <xf numFmtId="1" fontId="7" fillId="3" borderId="3" xfId="5" applyNumberFormat="1" applyFont="1" applyFill="1" applyBorder="1" applyAlignment="1">
      <alignment vertical="center" wrapText="1"/>
    </xf>
    <xf numFmtId="0" fontId="7" fillId="7" borderId="0" xfId="3" applyFont="1" applyFill="1" applyBorder="1" applyAlignment="1">
      <alignment vertical="center" wrapText="1"/>
    </xf>
    <xf numFmtId="0" fontId="7" fillId="7" borderId="1" xfId="3" applyFont="1" applyFill="1" applyBorder="1" applyAlignment="1">
      <alignment horizontal="left" vertical="center" wrapText="1"/>
    </xf>
    <xf numFmtId="0" fontId="7" fillId="7" borderId="1" xfId="3" applyFont="1" applyFill="1" applyBorder="1" applyAlignment="1">
      <alignment vertical="center" wrapText="1"/>
    </xf>
    <xf numFmtId="0" fontId="7" fillId="3" borderId="0" xfId="3" applyFont="1" applyFill="1" applyBorder="1" applyAlignment="1">
      <alignment vertical="center" wrapText="1"/>
    </xf>
    <xf numFmtId="1" fontId="7" fillId="3" borderId="0" xfId="7" applyNumberFormat="1" applyFont="1" applyFill="1" applyBorder="1" applyAlignment="1">
      <alignment vertical="center" wrapText="1"/>
    </xf>
    <xf numFmtId="0" fontId="7" fillId="3" borderId="3" xfId="7" applyFont="1" applyFill="1" applyBorder="1" applyAlignment="1">
      <alignment vertical="center" wrapText="1"/>
    </xf>
    <xf numFmtId="1" fontId="7" fillId="3" borderId="0" xfId="7" applyNumberFormat="1" applyFont="1" applyFill="1" applyBorder="1" applyAlignment="1">
      <alignment horizontal="left" vertical="center" wrapText="1"/>
    </xf>
    <xf numFmtId="0" fontId="7" fillId="2" borderId="0" xfId="5" applyFont="1" applyFill="1" applyBorder="1" applyAlignment="1"/>
    <xf numFmtId="0" fontId="7" fillId="7" borderId="1" xfId="5" applyFont="1" applyFill="1" applyBorder="1" applyAlignment="1">
      <alignment vertical="center" wrapText="1"/>
    </xf>
    <xf numFmtId="0" fontId="7" fillId="6" borderId="1" xfId="5" applyFont="1" applyFill="1" applyBorder="1" applyAlignment="1"/>
    <xf numFmtId="0" fontId="7" fillId="7" borderId="1" xfId="5" applyFont="1" applyFill="1" applyBorder="1" applyAlignment="1">
      <alignment horizontal="left" vertical="center" wrapText="1"/>
    </xf>
    <xf numFmtId="1" fontId="7" fillId="2" borderId="0" xfId="8" applyNumberFormat="1" applyFont="1" applyFill="1" applyBorder="1" applyAlignment="1">
      <alignment vertical="center" wrapText="1"/>
    </xf>
    <xf numFmtId="1" fontId="7" fillId="3" borderId="3" xfId="8" applyNumberFormat="1" applyFont="1" applyFill="1" applyBorder="1" applyAlignment="1">
      <alignment horizontal="left" vertical="center" wrapText="1"/>
    </xf>
    <xf numFmtId="0" fontId="7" fillId="2" borderId="0" xfId="8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5" borderId="0" xfId="0" applyFill="1"/>
    <xf numFmtId="3" fontId="7" fillId="5" borderId="0" xfId="0" applyNumberFormat="1" applyFont="1" applyFill="1" applyBorder="1" applyAlignment="1"/>
    <xf numFmtId="0" fontId="7" fillId="5" borderId="0" xfId="0" applyFont="1" applyFill="1" applyBorder="1"/>
    <xf numFmtId="0" fontId="7" fillId="5" borderId="0" xfId="0" applyFont="1" applyFill="1" applyBorder="1" applyAlignment="1">
      <alignment vertical="center" wrapText="1"/>
    </xf>
    <xf numFmtId="0" fontId="7" fillId="4" borderId="0" xfId="3" applyFont="1" applyFill="1" applyBorder="1" applyAlignment="1">
      <alignment vertical="center" wrapText="1"/>
    </xf>
    <xf numFmtId="0" fontId="7" fillId="4" borderId="0" xfId="3" applyFont="1" applyFill="1" applyBorder="1" applyAlignment="1">
      <alignment horizontal="left" vertical="center" wrapText="1"/>
    </xf>
    <xf numFmtId="0" fontId="7" fillId="6" borderId="1" xfId="8" applyFont="1" applyFill="1" applyBorder="1" applyAlignment="1">
      <alignment vertical="center" wrapText="1"/>
    </xf>
    <xf numFmtId="0" fontId="7" fillId="6" borderId="1" xfId="8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 wrapText="1"/>
    </xf>
    <xf numFmtId="3" fontId="7" fillId="6" borderId="0" xfId="0" applyNumberFormat="1" applyFont="1" applyFill="1" applyBorder="1" applyAlignment="1">
      <alignment horizontal="left" vertical="center" wrapText="1"/>
    </xf>
    <xf numFmtId="3" fontId="0" fillId="0" borderId="0" xfId="0" applyNumberFormat="1"/>
    <xf numFmtId="0" fontId="7" fillId="2" borderId="0" xfId="0" applyFont="1" applyFill="1" applyBorder="1" applyAlignment="1">
      <alignment horizontal="center" vertical="center" wrapText="1"/>
    </xf>
    <xf numFmtId="0" fontId="9" fillId="4" borderId="0" xfId="3" applyFont="1" applyFill="1" applyBorder="1" applyAlignment="1">
      <alignment horizontal="left" vertical="center" wrapText="1"/>
    </xf>
    <xf numFmtId="0" fontId="7" fillId="2" borderId="0" xfId="1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7" fillId="4" borderId="0" xfId="11" applyNumberFormat="1" applyFont="1" applyFill="1" applyBorder="1" applyAlignment="1">
      <alignment vertical="center" wrapText="1"/>
    </xf>
    <xf numFmtId="1" fontId="7" fillId="4" borderId="0" xfId="11" applyNumberFormat="1" applyFont="1" applyFill="1" applyBorder="1" applyAlignment="1">
      <alignment horizontal="left" vertical="center" wrapText="1"/>
    </xf>
    <xf numFmtId="3" fontId="7" fillId="4" borderId="0" xfId="7" applyNumberFormat="1" applyFont="1" applyFill="1" applyBorder="1" applyAlignment="1">
      <alignment vertical="center" wrapText="1"/>
    </xf>
    <xf numFmtId="0" fontId="7" fillId="5" borderId="0" xfId="7" applyFont="1" applyFill="1" applyBorder="1" applyAlignment="1">
      <alignment horizontal="left" vertical="center" wrapText="1"/>
    </xf>
    <xf numFmtId="0" fontId="1" fillId="0" borderId="0" xfId="0" applyFont="1" applyAlignment="1"/>
    <xf numFmtId="0" fontId="5" fillId="0" borderId="0" xfId="0" applyFont="1"/>
    <xf numFmtId="0" fontId="7" fillId="2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 wrapText="1"/>
    </xf>
    <xf numFmtId="0" fontId="7" fillId="3" borderId="0" xfId="5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0" xfId="6" applyFont="1" applyFill="1" applyBorder="1" applyAlignment="1">
      <alignment horizontal="center" vertical="center" wrapText="1"/>
    </xf>
    <xf numFmtId="0" fontId="7" fillId="3" borderId="0" xfId="3" applyFont="1" applyFill="1" applyBorder="1" applyAlignment="1">
      <alignment horizontal="center" vertical="center" wrapText="1"/>
    </xf>
    <xf numFmtId="0" fontId="7" fillId="3" borderId="0" xfId="7" applyFont="1" applyFill="1" applyBorder="1" applyAlignment="1">
      <alignment horizontal="center" vertical="center" wrapText="1"/>
    </xf>
    <xf numFmtId="0" fontId="7" fillId="2" borderId="0" xfId="8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7" fillId="3" borderId="3" xfId="0" applyFont="1" applyFill="1" applyBorder="1" applyAlignment="1">
      <alignment horizontal="left" vertical="center" wrapText="1"/>
    </xf>
    <xf numFmtId="1" fontId="7" fillId="3" borderId="3" xfId="0" applyNumberFormat="1" applyFont="1" applyFill="1" applyBorder="1" applyAlignment="1">
      <alignment horizontal="left" vertical="center" wrapText="1"/>
    </xf>
    <xf numFmtId="0" fontId="7" fillId="3" borderId="0" xfId="11" applyFont="1" applyFill="1" applyBorder="1" applyAlignment="1">
      <alignment horizontal="center" vertical="center" wrapText="1"/>
    </xf>
    <xf numFmtId="1" fontId="7" fillId="3" borderId="3" xfId="5" applyNumberFormat="1" applyFont="1" applyFill="1" applyBorder="1" applyAlignment="1">
      <alignment horizontal="left" vertical="center" wrapText="1"/>
    </xf>
    <xf numFmtId="1" fontId="7" fillId="2" borderId="3" xfId="3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7" fillId="3" borderId="0" xfId="5" applyFont="1" applyFill="1" applyBorder="1" applyAlignment="1">
      <alignment horizontal="center" vertical="center" wrapText="1"/>
    </xf>
    <xf numFmtId="0" fontId="7" fillId="7" borderId="1" xfId="11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0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/>
    <xf numFmtId="0" fontId="0" fillId="0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/>
    </xf>
    <xf numFmtId="1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7" fillId="5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0" fillId="5" borderId="0" xfId="0" applyFill="1" applyBorder="1"/>
    <xf numFmtId="3" fontId="7" fillId="4" borderId="7" xfId="0" applyNumberFormat="1" applyFont="1" applyFill="1" applyBorder="1" applyAlignment="1">
      <alignment vertical="center" wrapText="1"/>
    </xf>
    <xf numFmtId="0" fontId="0" fillId="5" borderId="7" xfId="0" applyFill="1" applyBorder="1"/>
    <xf numFmtId="0" fontId="7" fillId="6" borderId="7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0" fillId="6" borderId="7" xfId="0" applyFill="1" applyBorder="1"/>
    <xf numFmtId="0" fontId="7" fillId="4" borderId="7" xfId="0" applyFont="1" applyFill="1" applyBorder="1" applyAlignment="1">
      <alignment horizontal="righ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9" applyFont="1" applyFill="1" applyBorder="1" applyAlignment="1">
      <alignment horizontal="right" vertical="center" wrapText="1"/>
    </xf>
    <xf numFmtId="1" fontId="7" fillId="5" borderId="0" xfId="9" applyNumberFormat="1" applyFont="1" applyFill="1" applyBorder="1" applyAlignment="1">
      <alignment vertical="center" wrapText="1"/>
    </xf>
    <xf numFmtId="0" fontId="7" fillId="5" borderId="0" xfId="10" applyFont="1" applyFill="1" applyBorder="1" applyAlignment="1">
      <alignment vertical="center" wrapText="1"/>
    </xf>
    <xf numFmtId="0" fontId="7" fillId="4" borderId="0" xfId="10" applyFont="1" applyFill="1" applyBorder="1" applyAlignment="1">
      <alignment horizontal="right" vertical="center" wrapText="1"/>
    </xf>
    <xf numFmtId="1" fontId="7" fillId="4" borderId="0" xfId="10" applyNumberFormat="1" applyFont="1" applyFill="1" applyBorder="1" applyAlignment="1">
      <alignment horizontal="right" vertical="center" wrapText="1"/>
    </xf>
    <xf numFmtId="1" fontId="7" fillId="5" borderId="0" xfId="10" applyNumberFormat="1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0" xfId="11" applyFont="1" applyFill="1" applyBorder="1" applyAlignment="1">
      <alignment horizontal="center" vertical="center" wrapText="1"/>
    </xf>
    <xf numFmtId="0" fontId="7" fillId="4" borderId="0" xfId="11" applyFont="1" applyFill="1" applyBorder="1" applyAlignment="1">
      <alignment vertical="center" wrapText="1"/>
    </xf>
    <xf numFmtId="0" fontId="7" fillId="4" borderId="0" xfId="2" applyFont="1" applyFill="1" applyBorder="1" applyAlignment="1">
      <alignment vertical="center" wrapText="1"/>
    </xf>
    <xf numFmtId="0" fontId="7" fillId="5" borderId="0" xfId="6" applyFont="1" applyFill="1" applyBorder="1" applyAlignment="1">
      <alignment horizontal="center" vertical="center" wrapText="1"/>
    </xf>
    <xf numFmtId="0" fontId="7" fillId="5" borderId="0" xfId="6" applyFont="1" applyFill="1" applyBorder="1" applyAlignment="1">
      <alignment horizontal="right" vertical="center" wrapText="1"/>
    </xf>
    <xf numFmtId="0" fontId="7" fillId="4" borderId="0" xfId="6" applyFont="1" applyFill="1" applyBorder="1" applyAlignment="1">
      <alignment vertical="center" wrapText="1"/>
    </xf>
    <xf numFmtId="1" fontId="7" fillId="4" borderId="7" xfId="6" applyNumberFormat="1" applyFont="1" applyFill="1" applyBorder="1" applyAlignment="1">
      <alignment horizontal="right" vertical="center" wrapText="1"/>
    </xf>
    <xf numFmtId="3" fontId="7" fillId="4" borderId="7" xfId="6" applyNumberFormat="1" applyFont="1" applyFill="1" applyBorder="1" applyAlignment="1">
      <alignment vertical="center" wrapText="1"/>
    </xf>
    <xf numFmtId="1" fontId="7" fillId="4" borderId="7" xfId="6" applyNumberFormat="1" applyFont="1" applyFill="1" applyBorder="1" applyAlignment="1">
      <alignment horizontal="left" vertical="center" wrapText="1"/>
    </xf>
    <xf numFmtId="0" fontId="7" fillId="5" borderId="0" xfId="3" applyFont="1" applyFill="1" applyBorder="1" applyAlignment="1">
      <alignment horizontal="center" vertical="center" wrapText="1"/>
    </xf>
    <xf numFmtId="0" fontId="7" fillId="5" borderId="0" xfId="3" applyFont="1" applyFill="1" applyBorder="1" applyAlignment="1">
      <alignment vertical="center" wrapText="1"/>
    </xf>
    <xf numFmtId="1" fontId="7" fillId="4" borderId="2" xfId="7" applyNumberFormat="1" applyFont="1" applyFill="1" applyBorder="1" applyAlignment="1">
      <alignment horizontal="right" vertical="center" wrapText="1"/>
    </xf>
    <xf numFmtId="0" fontId="7" fillId="4" borderId="2" xfId="7" applyFont="1" applyFill="1" applyBorder="1" applyAlignment="1">
      <alignment horizontal="right" vertical="center" wrapText="1"/>
    </xf>
    <xf numFmtId="0" fontId="7" fillId="4" borderId="2" xfId="8" applyFont="1" applyFill="1" applyBorder="1" applyAlignment="1">
      <alignment horizontal="right" vertical="center" wrapText="1"/>
    </xf>
    <xf numFmtId="1" fontId="7" fillId="4" borderId="2" xfId="7" applyNumberFormat="1" applyFont="1" applyFill="1" applyBorder="1" applyAlignment="1">
      <alignment horizontal="left" vertical="center" wrapText="1"/>
    </xf>
    <xf numFmtId="1" fontId="7" fillId="4" borderId="0" xfId="7" applyNumberFormat="1" applyFont="1" applyFill="1" applyBorder="1" applyAlignment="1">
      <alignment horizontal="right" vertical="center" wrapText="1"/>
    </xf>
    <xf numFmtId="0" fontId="7" fillId="4" borderId="0" xfId="7" applyFont="1" applyFill="1" applyBorder="1" applyAlignment="1">
      <alignment horizontal="right" vertical="center" wrapText="1"/>
    </xf>
    <xf numFmtId="1" fontId="7" fillId="4" borderId="0" xfId="8" applyNumberFormat="1" applyFont="1" applyFill="1" applyBorder="1" applyAlignment="1">
      <alignment horizontal="right" vertical="center" wrapText="1"/>
    </xf>
    <xf numFmtId="1" fontId="7" fillId="4" borderId="0" xfId="7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4" borderId="0" xfId="5" applyFont="1" applyFill="1" applyBorder="1" applyAlignment="1">
      <alignment vertical="center" wrapText="1"/>
    </xf>
    <xf numFmtId="0" fontId="7" fillId="4" borderId="0" xfId="5" applyFont="1" applyFill="1" applyBorder="1" applyAlignment="1">
      <alignment horizontal="right" vertical="center" wrapText="1"/>
    </xf>
    <xf numFmtId="0" fontId="7" fillId="5" borderId="0" xfId="8" applyFont="1" applyFill="1" applyBorder="1" applyAlignment="1">
      <alignment vertical="center" wrapText="1"/>
    </xf>
    <xf numFmtId="0" fontId="7" fillId="4" borderId="0" xfId="8" applyFont="1" applyFill="1" applyBorder="1" applyAlignment="1">
      <alignment horizontal="center" vertical="center" wrapText="1"/>
    </xf>
    <xf numFmtId="1" fontId="7" fillId="4" borderId="0" xfId="8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0" xfId="4" applyFont="1" applyFill="1" applyBorder="1" applyAlignment="1">
      <alignment vertical="center" wrapText="1"/>
    </xf>
    <xf numFmtId="0" fontId="7" fillId="4" borderId="0" xfId="4" applyFont="1" applyFill="1" applyBorder="1" applyAlignment="1">
      <alignment horizontal="right" vertical="center" wrapText="1"/>
    </xf>
    <xf numFmtId="0" fontId="11" fillId="5" borderId="0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/>
    <xf numFmtId="3" fontId="7" fillId="0" borderId="0" xfId="12" applyNumberFormat="1" applyFont="1" applyFill="1" applyBorder="1" applyAlignment="1">
      <alignment vertical="center" wrapText="1"/>
    </xf>
    <xf numFmtId="3" fontId="7" fillId="0" borderId="0" xfId="13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0" fillId="0" borderId="0" xfId="0" applyFill="1" applyBorder="1"/>
    <xf numFmtId="1" fontId="7" fillId="0" borderId="0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left" vertical="center" wrapText="1"/>
    </xf>
    <xf numFmtId="3" fontId="7" fillId="0" borderId="4" xfId="0" applyNumberFormat="1" applyFont="1" applyFill="1" applyBorder="1" applyAlignment="1">
      <alignment horizontal="left" vertical="center" wrapText="1"/>
    </xf>
    <xf numFmtId="1" fontId="0" fillId="0" borderId="0" xfId="0" applyNumberFormat="1" applyFill="1" applyBorder="1"/>
    <xf numFmtId="1" fontId="0" fillId="0" borderId="0" xfId="0" applyNumberFormat="1" applyFill="1"/>
    <xf numFmtId="0" fontId="1" fillId="0" borderId="0" xfId="0" applyFont="1" applyFill="1"/>
    <xf numFmtId="0" fontId="7" fillId="0" borderId="7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vertical="center" wrapText="1"/>
    </xf>
    <xf numFmtId="165" fontId="7" fillId="0" borderId="5" xfId="0" applyNumberFormat="1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vertical="center" wrapText="1"/>
    </xf>
    <xf numFmtId="0" fontId="7" fillId="0" borderId="0" xfId="9" applyFont="1" applyFill="1" applyBorder="1" applyAlignment="1">
      <alignment horizontal="right" vertical="center" wrapText="1"/>
    </xf>
    <xf numFmtId="3" fontId="7" fillId="0" borderId="0" xfId="9" applyNumberFormat="1" applyFont="1" applyFill="1" applyBorder="1" applyAlignment="1">
      <alignment vertical="center" wrapText="1"/>
    </xf>
    <xf numFmtId="1" fontId="7" fillId="0" borderId="0" xfId="9" applyNumberFormat="1" applyFont="1" applyFill="1" applyBorder="1" applyAlignment="1">
      <alignment horizontal="left" vertical="center" wrapText="1"/>
    </xf>
    <xf numFmtId="0" fontId="7" fillId="0" borderId="0" xfId="9" applyFont="1" applyFill="1" applyBorder="1" applyAlignment="1">
      <alignment horizontal="left" vertical="center" wrapText="1"/>
    </xf>
    <xf numFmtId="1" fontId="7" fillId="0" borderId="0" xfId="9" applyNumberFormat="1" applyFont="1" applyFill="1" applyBorder="1" applyAlignment="1">
      <alignment horizontal="right" vertical="center" wrapText="1"/>
    </xf>
    <xf numFmtId="0" fontId="7" fillId="0" borderId="7" xfId="9" applyFont="1" applyFill="1" applyBorder="1" applyAlignment="1">
      <alignment vertical="center" wrapText="1"/>
    </xf>
    <xf numFmtId="3" fontId="7" fillId="0" borderId="7" xfId="9" applyNumberFormat="1" applyFont="1" applyFill="1" applyBorder="1" applyAlignment="1">
      <alignment vertical="center" wrapText="1"/>
    </xf>
    <xf numFmtId="1" fontId="7" fillId="0" borderId="0" xfId="10" applyNumberFormat="1" applyFont="1" applyFill="1" applyBorder="1" applyAlignment="1">
      <alignment horizontal="right" vertical="center" wrapText="1"/>
    </xf>
    <xf numFmtId="3" fontId="7" fillId="0" borderId="0" xfId="10" applyNumberFormat="1" applyFont="1" applyFill="1" applyBorder="1" applyAlignment="1">
      <alignment vertical="center" wrapText="1"/>
    </xf>
    <xf numFmtId="1" fontId="7" fillId="0" borderId="0" xfId="10" applyNumberFormat="1" applyFont="1" applyFill="1" applyBorder="1" applyAlignment="1">
      <alignment horizontal="left" vertical="center" wrapText="1"/>
    </xf>
    <xf numFmtId="0" fontId="7" fillId="0" borderId="0" xfId="10" applyFont="1" applyFill="1" applyBorder="1" applyAlignment="1">
      <alignment horizontal="right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7" xfId="10" applyFont="1" applyFill="1" applyBorder="1" applyAlignment="1">
      <alignment vertical="center" wrapText="1"/>
    </xf>
    <xf numFmtId="3" fontId="7" fillId="0" borderId="7" xfId="10" applyNumberFormat="1" applyFont="1" applyFill="1" applyBorder="1" applyAlignment="1">
      <alignment vertical="center" wrapText="1"/>
    </xf>
    <xf numFmtId="0" fontId="7" fillId="0" borderId="0" xfId="4" applyFont="1" applyFill="1" applyBorder="1" applyAlignment="1">
      <alignment horizontal="right" vertical="center" wrapText="1"/>
    </xf>
    <xf numFmtId="0" fontId="7" fillId="0" borderId="0" xfId="4" applyFont="1" applyFill="1" applyBorder="1" applyAlignment="1">
      <alignment horizontal="left" vertical="center" wrapText="1"/>
    </xf>
    <xf numFmtId="1" fontId="7" fillId="0" borderId="0" xfId="4" applyNumberFormat="1" applyFont="1" applyFill="1" applyBorder="1" applyAlignment="1">
      <alignment horizontal="right" vertical="center" wrapText="1"/>
    </xf>
    <xf numFmtId="1" fontId="7" fillId="0" borderId="0" xfId="4" applyNumberFormat="1" applyFont="1" applyFill="1" applyBorder="1" applyAlignment="1">
      <alignment horizontal="left" vertical="center" wrapText="1"/>
    </xf>
    <xf numFmtId="0" fontId="7" fillId="0" borderId="7" xfId="4" applyFont="1" applyFill="1" applyBorder="1" applyAlignment="1">
      <alignment vertical="center" wrapText="1"/>
    </xf>
    <xf numFmtId="3" fontId="7" fillId="0" borderId="0" xfId="14" applyNumberFormat="1" applyFont="1" applyFill="1" applyBorder="1" applyAlignment="1">
      <alignment vertical="center" wrapText="1"/>
    </xf>
    <xf numFmtId="3" fontId="7" fillId="0" borderId="0" xfId="15" applyNumberFormat="1" applyFont="1" applyFill="1" applyBorder="1" applyAlignment="1">
      <alignment vertical="center" wrapText="1"/>
    </xf>
    <xf numFmtId="3" fontId="7" fillId="0" borderId="0" xfId="16" applyNumberFormat="1" applyFont="1" applyFill="1" applyBorder="1" applyAlignment="1">
      <alignment vertical="center" wrapText="1"/>
    </xf>
    <xf numFmtId="1" fontId="7" fillId="0" borderId="7" xfId="11" applyNumberFormat="1" applyFont="1" applyFill="1" applyBorder="1" applyAlignment="1">
      <alignment horizontal="right" vertical="center" wrapText="1"/>
    </xf>
    <xf numFmtId="3" fontId="7" fillId="0" borderId="7" xfId="11" applyNumberFormat="1" applyFont="1" applyFill="1" applyBorder="1" applyAlignment="1">
      <alignment vertical="center" wrapText="1"/>
    </xf>
    <xf numFmtId="1" fontId="7" fillId="0" borderId="7" xfId="11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7" fillId="0" borderId="0" xfId="2" applyFont="1" applyFill="1" applyBorder="1" applyAlignment="1">
      <alignment horizontal="right" vertical="center" wrapText="1"/>
    </xf>
    <xf numFmtId="1" fontId="7" fillId="0" borderId="0" xfId="2" applyNumberFormat="1" applyFont="1" applyFill="1" applyBorder="1" applyAlignment="1">
      <alignment horizontal="right" vertical="center" wrapText="1"/>
    </xf>
    <xf numFmtId="1" fontId="7" fillId="0" borderId="0" xfId="2" applyNumberFormat="1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horizontal="right" vertical="center" wrapText="1"/>
    </xf>
    <xf numFmtId="3" fontId="7" fillId="0" borderId="0" xfId="6" applyNumberFormat="1" applyFont="1" applyFill="1" applyBorder="1" applyAlignment="1">
      <alignment vertical="center" wrapText="1"/>
    </xf>
    <xf numFmtId="0" fontId="7" fillId="0" borderId="0" xfId="6" applyFont="1" applyFill="1" applyBorder="1" applyAlignment="1">
      <alignment horizontal="left" vertical="center" wrapText="1"/>
    </xf>
    <xf numFmtId="1" fontId="7" fillId="0" borderId="0" xfId="6" applyNumberFormat="1" applyFont="1" applyFill="1" applyBorder="1" applyAlignment="1">
      <alignment horizontal="right" vertical="center" wrapText="1"/>
    </xf>
    <xf numFmtId="1" fontId="7" fillId="0" borderId="0" xfId="6" applyNumberFormat="1" applyFont="1" applyFill="1" applyBorder="1" applyAlignment="1">
      <alignment horizontal="left" vertical="center" wrapText="1"/>
    </xf>
    <xf numFmtId="3" fontId="7" fillId="0" borderId="0" xfId="6" applyNumberFormat="1" applyFont="1" applyFill="1" applyBorder="1" applyAlignment="1">
      <alignment horizontal="left" vertical="center" wrapText="1"/>
    </xf>
    <xf numFmtId="1" fontId="7" fillId="0" borderId="7" xfId="6" applyNumberFormat="1" applyFont="1" applyFill="1" applyBorder="1" applyAlignment="1">
      <alignment horizontal="right" vertical="center" wrapText="1"/>
    </xf>
    <xf numFmtId="3" fontId="7" fillId="0" borderId="7" xfId="6" applyNumberFormat="1" applyFont="1" applyFill="1" applyBorder="1" applyAlignment="1">
      <alignment vertical="center" wrapText="1"/>
    </xf>
    <xf numFmtId="3" fontId="7" fillId="0" borderId="7" xfId="6" applyNumberFormat="1" applyFont="1" applyFill="1" applyBorder="1" applyAlignment="1">
      <alignment horizontal="left" vertical="center" wrapText="1"/>
    </xf>
    <xf numFmtId="3" fontId="7" fillId="0" borderId="0" xfId="0" applyNumberFormat="1" applyFont="1" applyFill="1"/>
    <xf numFmtId="3" fontId="7" fillId="0" borderId="0" xfId="7" applyNumberFormat="1" applyFont="1" applyFill="1" applyBorder="1" applyAlignment="1">
      <alignment vertical="center" wrapText="1"/>
    </xf>
    <xf numFmtId="3" fontId="7" fillId="0" borderId="0" xfId="8" applyNumberFormat="1" applyFont="1" applyFill="1" applyBorder="1" applyAlignment="1">
      <alignment vertical="center" wrapText="1"/>
    </xf>
    <xf numFmtId="3" fontId="9" fillId="0" borderId="0" xfId="6" applyNumberFormat="1" applyFont="1" applyFill="1" applyBorder="1" applyAlignment="1">
      <alignment horizontal="left" vertical="center" wrapText="1"/>
    </xf>
    <xf numFmtId="0" fontId="7" fillId="0" borderId="7" xfId="7" applyFont="1" applyFill="1" applyBorder="1" applyAlignment="1">
      <alignment vertical="center" wrapText="1"/>
    </xf>
    <xf numFmtId="3" fontId="7" fillId="0" borderId="7" xfId="7" applyNumberFormat="1" applyFont="1" applyFill="1" applyBorder="1" applyAlignment="1">
      <alignment vertical="center" wrapText="1"/>
    </xf>
    <xf numFmtId="0" fontId="7" fillId="0" borderId="7" xfId="7" applyFont="1" applyFill="1" applyBorder="1" applyAlignment="1">
      <alignment horizontal="left" vertical="center" wrapText="1"/>
    </xf>
    <xf numFmtId="1" fontId="7" fillId="0" borderId="0" xfId="7" applyNumberFormat="1" applyFont="1" applyFill="1" applyBorder="1" applyAlignment="1">
      <alignment horizontal="right" vertical="center" wrapText="1"/>
    </xf>
    <xf numFmtId="3" fontId="7" fillId="0" borderId="0" xfId="7" applyNumberFormat="1" applyFont="1" applyFill="1" applyBorder="1" applyAlignment="1">
      <alignment horizontal="left" vertical="center" wrapText="1"/>
    </xf>
    <xf numFmtId="3" fontId="7" fillId="0" borderId="3" xfId="7" applyNumberFormat="1" applyFont="1" applyFill="1" applyBorder="1" applyAlignment="1">
      <alignment horizontal="left" vertical="center" wrapText="1"/>
    </xf>
    <xf numFmtId="0" fontId="7" fillId="0" borderId="6" xfId="5" applyFont="1" applyFill="1" applyBorder="1" applyAlignment="1">
      <alignment horizontal="right" vertical="center" wrapText="1"/>
    </xf>
    <xf numFmtId="3" fontId="7" fillId="0" borderId="6" xfId="7" applyNumberFormat="1" applyFont="1" applyFill="1" applyBorder="1" applyAlignment="1">
      <alignment vertical="center" wrapText="1"/>
    </xf>
    <xf numFmtId="0" fontId="7" fillId="0" borderId="6" xfId="5" applyFont="1" applyFill="1" applyBorder="1" applyAlignment="1">
      <alignment horizontal="left" vertical="center" wrapText="1"/>
    </xf>
    <xf numFmtId="3" fontId="7" fillId="0" borderId="0" xfId="0" applyNumberFormat="1" applyFont="1" applyFill="1" applyBorder="1"/>
    <xf numFmtId="0" fontId="7" fillId="0" borderId="7" xfId="5" applyFont="1" applyFill="1" applyBorder="1" applyAlignment="1">
      <alignment horizontal="right" vertical="center" wrapText="1"/>
    </xf>
    <xf numFmtId="3" fontId="8" fillId="0" borderId="0" xfId="7" applyNumberFormat="1" applyFont="1" applyFill="1" applyBorder="1" applyAlignment="1">
      <alignment vertical="center" wrapText="1"/>
    </xf>
    <xf numFmtId="3" fontId="8" fillId="0" borderId="0" xfId="8" applyNumberFormat="1" applyFont="1" applyFill="1" applyBorder="1" applyAlignment="1">
      <alignment vertical="center" wrapText="1"/>
    </xf>
    <xf numFmtId="3" fontId="8" fillId="0" borderId="0" xfId="7" applyNumberFormat="1" applyFont="1" applyFill="1" applyBorder="1" applyAlignment="1">
      <alignment horizontal="left" vertical="center" wrapText="1"/>
    </xf>
    <xf numFmtId="3" fontId="8" fillId="0" borderId="7" xfId="7" applyNumberFormat="1" applyFont="1" applyFill="1" applyBorder="1" applyAlignment="1">
      <alignment vertical="center" wrapText="1"/>
    </xf>
    <xf numFmtId="3" fontId="8" fillId="0" borderId="7" xfId="7" applyNumberFormat="1" applyFont="1" applyFill="1" applyBorder="1" applyAlignment="1">
      <alignment horizontal="left" vertical="center" wrapText="1"/>
    </xf>
    <xf numFmtId="2" fontId="0" fillId="0" borderId="0" xfId="0" applyNumberFormat="1" applyFill="1" applyBorder="1"/>
    <xf numFmtId="3" fontId="7" fillId="0" borderId="0" xfId="7" applyNumberFormat="1" applyFont="1" applyFill="1" applyBorder="1" applyAlignment="1">
      <alignment horizontal="righ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3" fontId="7" fillId="5" borderId="0" xfId="0" applyNumberFormat="1" applyFont="1" applyFill="1" applyBorder="1" applyAlignment="1">
      <alignment vertical="center" wrapText="1"/>
    </xf>
    <xf numFmtId="1" fontId="7" fillId="6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1" fontId="7" fillId="6" borderId="0" xfId="0" applyNumberFormat="1" applyFont="1" applyFill="1" applyBorder="1" applyAlignment="1">
      <alignment horizontal="right" vertical="center" wrapText="1"/>
    </xf>
    <xf numFmtId="0" fontId="7" fillId="6" borderId="0" xfId="11" applyFont="1" applyFill="1" applyBorder="1" applyAlignment="1">
      <alignment horizontal="right" vertical="center" wrapText="1"/>
    </xf>
    <xf numFmtId="0" fontId="7" fillId="6" borderId="0" xfId="11" applyFont="1" applyFill="1" applyBorder="1" applyAlignment="1">
      <alignment horizontal="left" vertical="center" wrapText="1"/>
    </xf>
    <xf numFmtId="0" fontId="7" fillId="6" borderId="0" xfId="2" applyFont="1" applyFill="1" applyBorder="1" applyAlignment="1">
      <alignment horizontal="right" vertical="center" wrapText="1"/>
    </xf>
    <xf numFmtId="0" fontId="7" fillId="6" borderId="0" xfId="2" applyFont="1" applyFill="1" applyBorder="1" applyAlignment="1">
      <alignment horizontal="left" vertical="center" wrapText="1"/>
    </xf>
    <xf numFmtId="0" fontId="7" fillId="6" borderId="0" xfId="6" applyFont="1" applyFill="1" applyBorder="1" applyAlignment="1">
      <alignment horizontal="right" vertical="center" wrapText="1"/>
    </xf>
    <xf numFmtId="3" fontId="7" fillId="6" borderId="0" xfId="6" applyNumberFormat="1" applyFont="1" applyFill="1" applyBorder="1" applyAlignment="1">
      <alignment vertical="center" wrapText="1"/>
    </xf>
    <xf numFmtId="0" fontId="7" fillId="6" borderId="0" xfId="6" applyFont="1" applyFill="1" applyBorder="1" applyAlignment="1">
      <alignment horizontal="left" vertical="center" wrapText="1"/>
    </xf>
    <xf numFmtId="1" fontId="7" fillId="6" borderId="0" xfId="6" applyNumberFormat="1" applyFont="1" applyFill="1" applyBorder="1" applyAlignment="1">
      <alignment horizontal="right" vertical="center" wrapText="1"/>
    </xf>
    <xf numFmtId="1" fontId="7" fillId="6" borderId="0" xfId="6" applyNumberFormat="1" applyFont="1" applyFill="1" applyBorder="1" applyAlignment="1">
      <alignment horizontal="left" vertical="center" wrapText="1"/>
    </xf>
    <xf numFmtId="3" fontId="7" fillId="6" borderId="0" xfId="7" applyNumberFormat="1" applyFont="1" applyFill="1" applyBorder="1" applyAlignment="1">
      <alignment vertical="center" wrapText="1"/>
    </xf>
    <xf numFmtId="3" fontId="7" fillId="6" borderId="0" xfId="8" applyNumberFormat="1" applyFont="1" applyFill="1" applyBorder="1" applyAlignment="1">
      <alignment vertical="center" wrapText="1"/>
    </xf>
    <xf numFmtId="3" fontId="7" fillId="6" borderId="0" xfId="6" applyNumberFormat="1" applyFont="1" applyFill="1" applyBorder="1" applyAlignment="1">
      <alignment horizontal="left" vertical="center" wrapText="1"/>
    </xf>
    <xf numFmtId="3" fontId="9" fillId="6" borderId="0" xfId="6" applyNumberFormat="1" applyFont="1" applyFill="1" applyBorder="1" applyAlignment="1">
      <alignment horizontal="left" vertical="center" wrapText="1"/>
    </xf>
    <xf numFmtId="1" fontId="7" fillId="6" borderId="0" xfId="7" applyNumberFormat="1" applyFont="1" applyFill="1" applyBorder="1" applyAlignment="1">
      <alignment horizontal="right" vertical="center" wrapText="1"/>
    </xf>
    <xf numFmtId="3" fontId="7" fillId="6" borderId="0" xfId="7" applyNumberFormat="1" applyFont="1" applyFill="1" applyBorder="1" applyAlignment="1">
      <alignment horizontal="left" vertical="center" wrapText="1"/>
    </xf>
    <xf numFmtId="0" fontId="7" fillId="6" borderId="0" xfId="7" applyFont="1" applyFill="1" applyBorder="1" applyAlignment="1">
      <alignment horizontal="right" vertical="center" wrapText="1"/>
    </xf>
    <xf numFmtId="1" fontId="7" fillId="6" borderId="3" xfId="7" applyNumberFormat="1" applyFont="1" applyFill="1" applyBorder="1" applyAlignment="1">
      <alignment horizontal="right" vertical="center" wrapText="1"/>
    </xf>
    <xf numFmtId="3" fontId="7" fillId="6" borderId="3" xfId="7" applyNumberFormat="1" applyFont="1" applyFill="1" applyBorder="1" applyAlignment="1">
      <alignment vertical="center" wrapText="1"/>
    </xf>
    <xf numFmtId="3" fontId="7" fillId="6" borderId="3" xfId="7" applyNumberFormat="1" applyFont="1" applyFill="1" applyBorder="1" applyAlignment="1">
      <alignment horizontal="left" vertical="center" wrapText="1"/>
    </xf>
    <xf numFmtId="3" fontId="8" fillId="6" borderId="0" xfId="7" applyNumberFormat="1" applyFont="1" applyFill="1" applyBorder="1" applyAlignment="1">
      <alignment vertical="center" wrapText="1"/>
    </xf>
    <xf numFmtId="3" fontId="8" fillId="6" borderId="0" xfId="8" applyNumberFormat="1" applyFont="1" applyFill="1" applyBorder="1" applyAlignment="1">
      <alignment vertical="center" wrapText="1"/>
    </xf>
    <xf numFmtId="3" fontId="8" fillId="6" borderId="0" xfId="7" applyNumberFormat="1" applyFont="1" applyFill="1" applyBorder="1" applyAlignment="1">
      <alignment horizontal="left" vertical="center" wrapText="1"/>
    </xf>
    <xf numFmtId="1" fontId="7" fillId="4" borderId="7" xfId="0" applyNumberFormat="1" applyFont="1" applyFill="1" applyBorder="1" applyAlignment="1">
      <alignment horizontal="right" vertical="center" wrapText="1"/>
    </xf>
    <xf numFmtId="2" fontId="7" fillId="6" borderId="0" xfId="7" applyNumberFormat="1" applyFont="1" applyFill="1" applyBorder="1" applyAlignment="1">
      <alignment horizontal="right" vertical="center" wrapText="1"/>
    </xf>
    <xf numFmtId="2" fontId="7" fillId="6" borderId="0" xfId="7" applyNumberFormat="1" applyFont="1" applyFill="1" applyBorder="1" applyAlignment="1">
      <alignment horizontal="left" vertical="center" wrapText="1"/>
    </xf>
    <xf numFmtId="3" fontId="7" fillId="6" borderId="0" xfId="7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1" fontId="7" fillId="6" borderId="0" xfId="10" applyNumberFormat="1" applyFont="1" applyFill="1" applyBorder="1" applyAlignment="1">
      <alignment horizontal="right" vertical="center" wrapText="1"/>
    </xf>
    <xf numFmtId="3" fontId="7" fillId="6" borderId="0" xfId="10" applyNumberFormat="1" applyFont="1" applyFill="1" applyBorder="1" applyAlignment="1">
      <alignment vertical="center" wrapText="1"/>
    </xf>
    <xf numFmtId="1" fontId="7" fillId="6" borderId="0" xfId="9" applyNumberFormat="1" applyFont="1" applyFill="1" applyBorder="1" applyAlignment="1">
      <alignment horizontal="left" vertical="center" wrapText="1"/>
    </xf>
    <xf numFmtId="0" fontId="7" fillId="6" borderId="0" xfId="10" applyFont="1" applyFill="1" applyBorder="1" applyAlignment="1">
      <alignment horizontal="right" vertical="center" wrapText="1"/>
    </xf>
    <xf numFmtId="0" fontId="7" fillId="6" borderId="0" xfId="10" applyFont="1" applyFill="1" applyBorder="1" applyAlignment="1">
      <alignment horizontal="left" vertical="center" wrapText="1"/>
    </xf>
    <xf numFmtId="0" fontId="7" fillId="6" borderId="0" xfId="9" applyFont="1" applyFill="1" applyBorder="1" applyAlignment="1">
      <alignment horizontal="right" vertical="center" wrapText="1"/>
    </xf>
    <xf numFmtId="3" fontId="7" fillId="6" borderId="0" xfId="9" applyNumberFormat="1" applyFont="1" applyFill="1" applyBorder="1" applyAlignment="1">
      <alignment vertical="center" wrapText="1"/>
    </xf>
    <xf numFmtId="1" fontId="7" fillId="6" borderId="0" xfId="9" applyNumberFormat="1" applyFont="1" applyFill="1" applyBorder="1" applyAlignment="1">
      <alignment horizontal="right" vertical="center" wrapText="1"/>
    </xf>
    <xf numFmtId="1" fontId="7" fillId="5" borderId="0" xfId="9" applyNumberFormat="1" applyFont="1" applyFill="1" applyBorder="1" applyAlignment="1">
      <alignment horizontal="right" vertical="center" wrapText="1"/>
    </xf>
    <xf numFmtId="3" fontId="7" fillId="5" borderId="0" xfId="9" applyNumberFormat="1" applyFont="1" applyFill="1" applyBorder="1" applyAlignment="1">
      <alignment vertical="center" wrapText="1"/>
    </xf>
    <xf numFmtId="1" fontId="7" fillId="5" borderId="0" xfId="9" applyNumberFormat="1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right" vertical="center" wrapText="1"/>
    </xf>
    <xf numFmtId="0" fontId="7" fillId="4" borderId="0" xfId="2" applyFont="1" applyFill="1" applyBorder="1" applyAlignment="1">
      <alignment horizontal="center" vertical="center" wrapText="1"/>
    </xf>
    <xf numFmtId="3" fontId="7" fillId="5" borderId="0" xfId="7" applyNumberFormat="1" applyFont="1" applyFill="1" applyBorder="1" applyAlignment="1">
      <alignment horizontal="right" vertical="center" wrapText="1"/>
    </xf>
    <xf numFmtId="3" fontId="7" fillId="5" borderId="0" xfId="7" applyNumberFormat="1" applyFont="1" applyFill="1" applyBorder="1" applyAlignment="1">
      <alignment vertical="center" wrapText="1"/>
    </xf>
    <xf numFmtId="3" fontId="7" fillId="5" borderId="0" xfId="8" applyNumberFormat="1" applyFont="1" applyFill="1" applyBorder="1" applyAlignment="1">
      <alignment vertical="center" wrapText="1"/>
    </xf>
    <xf numFmtId="3" fontId="8" fillId="5" borderId="0" xfId="7" applyNumberFormat="1" applyFont="1" applyFill="1" applyBorder="1" applyAlignment="1">
      <alignment horizontal="left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right" vertical="center" wrapText="1"/>
    </xf>
    <xf numFmtId="1" fontId="7" fillId="5" borderId="0" xfId="7" applyNumberFormat="1" applyFont="1" applyFill="1" applyBorder="1" applyAlignment="1">
      <alignment horizontal="right" vertical="center" wrapText="1"/>
    </xf>
    <xf numFmtId="3" fontId="7" fillId="5" borderId="0" xfId="7" applyNumberFormat="1" applyFont="1" applyFill="1" applyBorder="1" applyAlignment="1">
      <alignment horizontal="left" vertical="center" wrapText="1"/>
    </xf>
    <xf numFmtId="0" fontId="7" fillId="5" borderId="0" xfId="7" applyFont="1" applyFill="1" applyBorder="1" applyAlignment="1">
      <alignment horizontal="right" vertical="center" wrapText="1"/>
    </xf>
    <xf numFmtId="0" fontId="7" fillId="6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 wrapText="1"/>
    </xf>
    <xf numFmtId="3" fontId="7" fillId="6" borderId="0" xfId="7" applyNumberFormat="1" applyFont="1" applyFill="1" applyBorder="1" applyAlignment="1">
      <alignment horizontal="right" vertical="center"/>
    </xf>
    <xf numFmtId="3" fontId="7" fillId="6" borderId="0" xfId="7" applyNumberFormat="1" applyFont="1" applyFill="1" applyBorder="1" applyAlignment="1">
      <alignment vertical="center"/>
    </xf>
    <xf numFmtId="3" fontId="7" fillId="6" borderId="0" xfId="7" applyNumberFormat="1" applyFont="1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Alignment="1"/>
    <xf numFmtId="3" fontId="7" fillId="6" borderId="0" xfId="8" applyNumberFormat="1" applyFont="1" applyFill="1" applyBorder="1" applyAlignment="1">
      <alignment vertical="center"/>
    </xf>
    <xf numFmtId="3" fontId="7" fillId="0" borderId="7" xfId="7" applyNumberFormat="1" applyFont="1" applyFill="1" applyBorder="1" applyAlignment="1">
      <alignment horizontal="right" vertical="center"/>
    </xf>
    <xf numFmtId="3" fontId="7" fillId="0" borderId="7" xfId="7" applyNumberFormat="1" applyFont="1" applyFill="1" applyBorder="1" applyAlignment="1">
      <alignment vertical="center"/>
    </xf>
    <xf numFmtId="0" fontId="7" fillId="0" borderId="7" xfId="5" applyFont="1" applyFill="1" applyBorder="1" applyAlignment="1">
      <alignment horizontal="left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3" fontId="7" fillId="5" borderId="0" xfId="7" applyNumberFormat="1" applyFont="1" applyFill="1" applyBorder="1" applyAlignment="1">
      <alignment horizontal="right" vertical="center"/>
    </xf>
    <xf numFmtId="3" fontId="7" fillId="5" borderId="0" xfId="7" applyNumberFormat="1" applyFont="1" applyFill="1" applyBorder="1" applyAlignment="1">
      <alignment vertical="center"/>
    </xf>
    <xf numFmtId="3" fontId="7" fillId="5" borderId="0" xfId="7" applyNumberFormat="1" applyFont="1" applyFill="1" applyBorder="1" applyAlignment="1">
      <alignment horizontal="left" vertical="center"/>
    </xf>
    <xf numFmtId="3" fontId="7" fillId="5" borderId="0" xfId="8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 vertical="center" wrapText="1"/>
    </xf>
    <xf numFmtId="1" fontId="7" fillId="0" borderId="8" xfId="0" applyNumberFormat="1" applyFont="1" applyFill="1" applyBorder="1" applyAlignment="1">
      <alignment horizontal="right" vertical="center" wrapText="1"/>
    </xf>
    <xf numFmtId="1" fontId="7" fillId="0" borderId="9" xfId="0" applyNumberFormat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9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7" fillId="2" borderId="0" xfId="8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2" fontId="15" fillId="0" borderId="0" xfId="0" applyNumberFormat="1" applyFont="1" applyAlignment="1">
      <alignment horizontal="center" vertical="center" wrapText="1" readingOrder="1"/>
    </xf>
    <xf numFmtId="1" fontId="15" fillId="0" borderId="0" xfId="0" applyNumberFormat="1" applyFont="1" applyAlignment="1">
      <alignment horizontal="center" vertical="center" wrapText="1" readingOrder="1"/>
    </xf>
    <xf numFmtId="1" fontId="7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right" vertical="center" wrapText="1"/>
    </xf>
    <xf numFmtId="1" fontId="0" fillId="0" borderId="0" xfId="0" applyNumberFormat="1" applyBorder="1"/>
    <xf numFmtId="3" fontId="7" fillId="0" borderId="0" xfId="0" applyNumberFormat="1" applyFont="1" applyFill="1" applyBorder="1" applyAlignment="1">
      <alignment horizontal="left"/>
    </xf>
    <xf numFmtId="3" fontId="7" fillId="6" borderId="0" xfId="0" applyNumberFormat="1" applyFont="1" applyFill="1" applyBorder="1" applyAlignment="1">
      <alignment wrapText="1" readingOrder="1"/>
    </xf>
    <xf numFmtId="0" fontId="7" fillId="5" borderId="2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center" wrapText="1"/>
    </xf>
    <xf numFmtId="3" fontId="7" fillId="6" borderId="3" xfId="0" applyNumberFormat="1" applyFont="1" applyFill="1" applyBorder="1" applyAlignment="1"/>
    <xf numFmtId="0" fontId="7" fillId="5" borderId="2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 wrapText="1"/>
    </xf>
    <xf numFmtId="0" fontId="7" fillId="5" borderId="2" xfId="9" applyFont="1" applyFill="1" applyBorder="1" applyAlignment="1">
      <alignment vertical="center" wrapText="1"/>
    </xf>
    <xf numFmtId="43" fontId="7" fillId="4" borderId="2" xfId="1" applyFont="1" applyFill="1" applyBorder="1" applyAlignment="1">
      <alignment horizontal="right" vertical="center" wrapText="1"/>
    </xf>
    <xf numFmtId="1" fontId="7" fillId="4" borderId="2" xfId="9" applyNumberFormat="1" applyFont="1" applyFill="1" applyBorder="1" applyAlignment="1">
      <alignment horizontal="right" vertical="center" wrapText="1"/>
    </xf>
    <xf numFmtId="1" fontId="7" fillId="5" borderId="2" xfId="9" applyNumberFormat="1" applyFont="1" applyFill="1" applyBorder="1" applyAlignment="1">
      <alignment horizontal="left" vertical="center" wrapText="1"/>
    </xf>
    <xf numFmtId="1" fontId="7" fillId="6" borderId="3" xfId="9" applyNumberFormat="1" applyFont="1" applyFill="1" applyBorder="1" applyAlignment="1">
      <alignment horizontal="right" vertical="center" wrapText="1"/>
    </xf>
    <xf numFmtId="3" fontId="7" fillId="6" borderId="3" xfId="9" applyNumberFormat="1" applyFont="1" applyFill="1" applyBorder="1" applyAlignment="1">
      <alignment vertical="center" wrapText="1"/>
    </xf>
    <xf numFmtId="1" fontId="7" fillId="6" borderId="3" xfId="9" applyNumberFormat="1" applyFont="1" applyFill="1" applyBorder="1" applyAlignment="1">
      <alignment horizontal="left" vertical="center" wrapText="1"/>
    </xf>
    <xf numFmtId="0" fontId="7" fillId="5" borderId="2" xfId="10" applyFont="1" applyFill="1" applyBorder="1" applyAlignment="1">
      <alignment vertical="center" wrapText="1"/>
    </xf>
    <xf numFmtId="0" fontId="7" fillId="5" borderId="2" xfId="10" applyFont="1" applyFill="1" applyBorder="1" applyAlignment="1">
      <alignment horizontal="right" vertical="center" wrapText="1"/>
    </xf>
    <xf numFmtId="1" fontId="7" fillId="5" borderId="2" xfId="10" applyNumberFormat="1" applyFont="1" applyFill="1" applyBorder="1" applyAlignment="1">
      <alignment horizontal="left" vertical="center" wrapText="1"/>
    </xf>
    <xf numFmtId="0" fontId="7" fillId="6" borderId="3" xfId="10" applyFont="1" applyFill="1" applyBorder="1" applyAlignment="1">
      <alignment horizontal="right" vertical="center" wrapText="1"/>
    </xf>
    <xf numFmtId="3" fontId="7" fillId="6" borderId="3" xfId="10" applyNumberFormat="1" applyFont="1" applyFill="1" applyBorder="1" applyAlignment="1">
      <alignment vertical="center" wrapText="1"/>
    </xf>
    <xf numFmtId="0" fontId="7" fillId="6" borderId="3" xfId="10" applyFont="1" applyFill="1" applyBorder="1" applyAlignment="1">
      <alignment horizontal="left" vertical="center" wrapText="1"/>
    </xf>
    <xf numFmtId="0" fontId="7" fillId="4" borderId="2" xfId="4" applyFont="1" applyFill="1" applyBorder="1" applyAlignment="1">
      <alignment vertical="center" wrapText="1"/>
    </xf>
    <xf numFmtId="0" fontId="7" fillId="4" borderId="2" xfId="4" applyFont="1" applyFill="1" applyBorder="1" applyAlignment="1">
      <alignment horizontal="right" vertical="center" wrapText="1"/>
    </xf>
    <xf numFmtId="1" fontId="7" fillId="4" borderId="2" xfId="4" applyNumberFormat="1" applyFont="1" applyFill="1" applyBorder="1" applyAlignment="1">
      <alignment horizontal="right" vertical="center" wrapText="1"/>
    </xf>
    <xf numFmtId="1" fontId="7" fillId="3" borderId="2" xfId="4" applyNumberFormat="1" applyFont="1" applyFill="1" applyBorder="1" applyAlignment="1">
      <alignment horizontal="left" vertical="center" wrapText="1"/>
    </xf>
    <xf numFmtId="0" fontId="7" fillId="6" borderId="3" xfId="0" applyFont="1" applyFill="1" applyBorder="1"/>
    <xf numFmtId="3" fontId="7" fillId="0" borderId="0" xfId="4" applyNumberFormat="1" applyFont="1" applyFill="1" applyBorder="1" applyAlignment="1">
      <alignment vertical="center" wrapText="1"/>
    </xf>
    <xf numFmtId="3" fontId="7" fillId="5" borderId="2" xfId="0" applyNumberFormat="1" applyFont="1" applyFill="1" applyBorder="1" applyAlignment="1">
      <alignment horizontal="right" vertical="center" wrapText="1"/>
    </xf>
    <xf numFmtId="1" fontId="7" fillId="5" borderId="2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right" vertical="center" wrapText="1"/>
    </xf>
    <xf numFmtId="1" fontId="7" fillId="4" borderId="7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/>
    <xf numFmtId="1" fontId="7" fillId="0" borderId="7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1" fontId="7" fillId="6" borderId="0" xfId="0" applyNumberFormat="1" applyFont="1" applyFill="1" applyBorder="1" applyAlignment="1">
      <alignment vertical="center" wrapText="1"/>
    </xf>
    <xf numFmtId="1" fontId="7" fillId="4" borderId="2" xfId="11" applyNumberFormat="1" applyFont="1" applyFill="1" applyBorder="1" applyAlignment="1">
      <alignment horizontal="center" vertical="center" wrapText="1"/>
    </xf>
    <xf numFmtId="11" fontId="7" fillId="4" borderId="2" xfId="2" applyNumberFormat="1" applyFont="1" applyFill="1" applyBorder="1" applyAlignment="1">
      <alignment horizontal="center" vertical="center" wrapText="1"/>
    </xf>
    <xf numFmtId="0" fontId="7" fillId="4" borderId="2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right"/>
    </xf>
    <xf numFmtId="0" fontId="7" fillId="0" borderId="0" xfId="2" applyFont="1" applyFill="1" applyBorder="1" applyAlignment="1">
      <alignment horizontal="left" vertical="center" wrapText="1"/>
    </xf>
    <xf numFmtId="1" fontId="7" fillId="4" borderId="2" xfId="2" applyNumberFormat="1" applyFont="1" applyFill="1" applyBorder="1" applyAlignment="1">
      <alignment horizontal="right" vertical="center" wrapText="1"/>
    </xf>
    <xf numFmtId="11" fontId="7" fillId="4" borderId="2" xfId="2" applyNumberFormat="1" applyFont="1" applyFill="1" applyBorder="1" applyAlignment="1">
      <alignment horizontal="right" vertical="center" wrapText="1"/>
    </xf>
    <xf numFmtId="0" fontId="7" fillId="4" borderId="2" xfId="2" applyFont="1" applyFill="1" applyBorder="1" applyAlignment="1">
      <alignment horizontal="right" vertical="center" wrapText="1"/>
    </xf>
    <xf numFmtId="0" fontId="7" fillId="6" borderId="3" xfId="2" applyFont="1" applyFill="1" applyBorder="1" applyAlignment="1">
      <alignment horizontal="right" vertical="center" wrapText="1"/>
    </xf>
    <xf numFmtId="0" fontId="7" fillId="6" borderId="3" xfId="2" applyFont="1" applyFill="1" applyBorder="1" applyAlignment="1">
      <alignment horizontal="left" vertical="center" wrapText="1"/>
    </xf>
    <xf numFmtId="1" fontId="7" fillId="7" borderId="0" xfId="2" applyNumberFormat="1" applyFont="1" applyFill="1" applyBorder="1" applyAlignment="1">
      <alignment horizontal="right" vertical="center" wrapText="1"/>
    </xf>
    <xf numFmtId="1" fontId="7" fillId="7" borderId="0" xfId="2" applyNumberFormat="1" applyFont="1" applyFill="1" applyBorder="1" applyAlignment="1">
      <alignment horizontal="left" vertical="center" wrapText="1"/>
    </xf>
    <xf numFmtId="1" fontId="7" fillId="3" borderId="3" xfId="2" applyNumberFormat="1" applyFont="1" applyFill="1" applyBorder="1" applyAlignment="1">
      <alignment vertical="center" wrapText="1"/>
    </xf>
    <xf numFmtId="1" fontId="7" fillId="3" borderId="3" xfId="2" applyNumberFormat="1" applyFont="1" applyFill="1" applyBorder="1" applyAlignment="1">
      <alignment horizontal="center" vertical="center" wrapText="1"/>
    </xf>
    <xf numFmtId="1" fontId="7" fillId="3" borderId="3" xfId="2" applyNumberFormat="1" applyFont="1" applyFill="1" applyBorder="1" applyAlignment="1">
      <alignment horizontal="left" vertical="center" wrapText="1"/>
    </xf>
    <xf numFmtId="3" fontId="7" fillId="0" borderId="0" xfId="11" applyNumberFormat="1" applyFont="1" applyFill="1" applyBorder="1" applyAlignment="1">
      <alignment horizontal="left" vertical="center" wrapText="1"/>
    </xf>
    <xf numFmtId="3" fontId="7" fillId="0" borderId="0" xfId="2" applyNumberFormat="1" applyFont="1" applyFill="1" applyBorder="1" applyAlignment="1">
      <alignment horizontal="left" vertical="center" wrapText="1"/>
    </xf>
    <xf numFmtId="1" fontId="7" fillId="3" borderId="2" xfId="6" applyNumberFormat="1" applyFont="1" applyFill="1" applyBorder="1" applyAlignment="1">
      <alignment horizontal="right" vertical="center" wrapText="1"/>
    </xf>
    <xf numFmtId="0" fontId="7" fillId="4" borderId="2" xfId="6" applyFont="1" applyFill="1" applyBorder="1" applyAlignment="1">
      <alignment horizontal="center" vertical="center" wrapText="1"/>
    </xf>
    <xf numFmtId="1" fontId="7" fillId="4" borderId="2" xfId="6" applyNumberFormat="1" applyFont="1" applyFill="1" applyBorder="1" applyAlignment="1">
      <alignment horizontal="center" vertical="center" wrapText="1"/>
    </xf>
    <xf numFmtId="1" fontId="7" fillId="4" borderId="2" xfId="6" applyNumberFormat="1" applyFont="1" applyFill="1" applyBorder="1" applyAlignment="1">
      <alignment horizontal="right" vertical="center" wrapText="1"/>
    </xf>
    <xf numFmtId="0" fontId="7" fillId="4" borderId="2" xfId="6" applyFont="1" applyFill="1" applyBorder="1" applyAlignment="1">
      <alignment vertical="center" wrapText="1"/>
    </xf>
    <xf numFmtId="1" fontId="7" fillId="0" borderId="3" xfId="6" applyNumberFormat="1" applyFont="1" applyFill="1" applyBorder="1" applyAlignment="1">
      <alignment horizontal="right" vertical="center" wrapText="1"/>
    </xf>
    <xf numFmtId="3" fontId="7" fillId="0" borderId="3" xfId="6" applyNumberFormat="1" applyFont="1" applyFill="1" applyBorder="1" applyAlignment="1">
      <alignment vertical="center" wrapText="1"/>
    </xf>
    <xf numFmtId="1" fontId="7" fillId="0" borderId="3" xfId="6" applyNumberFormat="1" applyFon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vertical="center" wrapText="1"/>
    </xf>
    <xf numFmtId="0" fontId="7" fillId="4" borderId="2" xfId="3" applyFont="1" applyFill="1" applyBorder="1" applyAlignment="1">
      <alignment horizontal="center" vertical="center" wrapText="1"/>
    </xf>
    <xf numFmtId="1" fontId="7" fillId="4" borderId="2" xfId="3" applyNumberFormat="1" applyFont="1" applyFill="1" applyBorder="1" applyAlignment="1">
      <alignment vertical="center" wrapText="1"/>
    </xf>
    <xf numFmtId="0" fontId="7" fillId="4" borderId="2" xfId="3" applyFont="1" applyFill="1" applyBorder="1" applyAlignment="1">
      <alignment vertical="center" wrapText="1"/>
    </xf>
    <xf numFmtId="3" fontId="7" fillId="0" borderId="3" xfId="6" applyNumberFormat="1" applyFont="1" applyFill="1" applyBorder="1" applyAlignment="1">
      <alignment horizontal="left" vertical="center" wrapText="1"/>
    </xf>
    <xf numFmtId="0" fontId="7" fillId="2" borderId="0" xfId="8" applyFont="1" applyFill="1" applyBorder="1" applyAlignment="1">
      <alignment horizontal="left" vertical="center" wrapText="1"/>
    </xf>
    <xf numFmtId="3" fontId="7" fillId="0" borderId="3" xfId="7" applyNumberFormat="1" applyFont="1" applyFill="1" applyBorder="1" applyAlignment="1">
      <alignment vertical="center" wrapText="1"/>
    </xf>
    <xf numFmtId="3" fontId="7" fillId="0" borderId="3" xfId="8" applyNumberFormat="1" applyFont="1" applyFill="1" applyBorder="1" applyAlignment="1">
      <alignment vertical="center" wrapText="1"/>
    </xf>
    <xf numFmtId="0" fontId="0" fillId="0" borderId="0" xfId="0" applyNumberFormat="1" applyBorder="1"/>
    <xf numFmtId="0" fontId="7" fillId="5" borderId="2" xfId="5" applyNumberFormat="1" applyFont="1" applyFill="1" applyBorder="1" applyAlignment="1">
      <alignment horizontal="right" vertical="center" wrapText="1"/>
    </xf>
    <xf numFmtId="0" fontId="7" fillId="4" borderId="2" xfId="5" applyNumberFormat="1" applyFont="1" applyFill="1" applyBorder="1" applyAlignment="1">
      <alignment horizontal="right" vertical="center" wrapText="1"/>
    </xf>
    <xf numFmtId="0" fontId="7" fillId="6" borderId="2" xfId="8" applyFont="1" applyFill="1" applyBorder="1" applyAlignment="1">
      <alignment vertical="center" wrapText="1"/>
    </xf>
    <xf numFmtId="0" fontId="7" fillId="7" borderId="2" xfId="8" applyFont="1" applyFill="1" applyBorder="1" applyAlignment="1">
      <alignment horizontal="center" vertical="center" wrapText="1"/>
    </xf>
    <xf numFmtId="0" fontId="7" fillId="7" borderId="2" xfId="8" applyFont="1" applyFill="1" applyBorder="1" applyAlignment="1">
      <alignment horizontal="left" vertical="center" wrapText="1"/>
    </xf>
    <xf numFmtId="0" fontId="7" fillId="0" borderId="3" xfId="5" applyFont="1" applyFill="1" applyBorder="1" applyAlignment="1">
      <alignment horizontal="right" vertical="center" wrapText="1"/>
    </xf>
    <xf numFmtId="0" fontId="7" fillId="0" borderId="3" xfId="5" applyFont="1" applyFill="1" applyBorder="1" applyAlignment="1">
      <alignment horizontal="left" vertical="center" wrapText="1"/>
    </xf>
    <xf numFmtId="3" fontId="7" fillId="6" borderId="3" xfId="7" applyNumberFormat="1" applyFont="1" applyFill="1" applyBorder="1" applyAlignment="1">
      <alignment horizontal="right" vertical="center"/>
    </xf>
    <xf numFmtId="3" fontId="7" fillId="6" borderId="3" xfId="7" applyNumberFormat="1" applyFont="1" applyFill="1" applyBorder="1" applyAlignment="1">
      <alignment vertical="center"/>
    </xf>
    <xf numFmtId="3" fontId="7" fillId="6" borderId="3" xfId="8" applyNumberFormat="1" applyFont="1" applyFill="1" applyBorder="1" applyAlignment="1">
      <alignment vertical="center"/>
    </xf>
    <xf numFmtId="3" fontId="7" fillId="6" borderId="3" xfId="7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vertical="center" wrapText="1"/>
    </xf>
    <xf numFmtId="1" fontId="7" fillId="0" borderId="3" xfId="7" applyNumberFormat="1" applyFont="1" applyFill="1" applyBorder="1" applyAlignment="1">
      <alignment horizontal="right" vertical="center" wrapText="1"/>
    </xf>
    <xf numFmtId="3" fontId="8" fillId="0" borderId="3" xfId="7" applyNumberFormat="1" applyFont="1" applyFill="1" applyBorder="1" applyAlignment="1">
      <alignment vertical="center" wrapText="1"/>
    </xf>
    <xf numFmtId="3" fontId="8" fillId="0" borderId="3" xfId="8" applyNumberFormat="1" applyFont="1" applyFill="1" applyBorder="1" applyAlignment="1">
      <alignment vertical="center" wrapText="1"/>
    </xf>
    <xf numFmtId="3" fontId="8" fillId="0" borderId="3" xfId="7" applyNumberFormat="1" applyFont="1" applyFill="1" applyBorder="1" applyAlignment="1">
      <alignment horizontal="left" vertical="center" wrapText="1"/>
    </xf>
    <xf numFmtId="3" fontId="7" fillId="4" borderId="7" xfId="7" applyNumberFormat="1" applyFont="1" applyFill="1" applyBorder="1" applyAlignment="1">
      <alignment horizontal="left" vertical="center" wrapText="1"/>
    </xf>
    <xf numFmtId="3" fontId="7" fillId="4" borderId="7" xfId="7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7" borderId="0" xfId="0" applyFont="1" applyFill="1" applyBorder="1" applyAlignment="1">
      <alignment horizontal="center" vertical="center" wrapText="1"/>
    </xf>
    <xf numFmtId="0" fontId="4" fillId="0" borderId="0" xfId="0" applyFont="1" applyAlignment="1"/>
    <xf numFmtId="167" fontId="7" fillId="7" borderId="0" xfId="1" applyNumberFormat="1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left" vertical="top" wrapText="1"/>
    </xf>
    <xf numFmtId="3" fontId="7" fillId="6" borderId="0" xfId="4" applyNumberFormat="1" applyFont="1" applyFill="1" applyBorder="1" applyAlignment="1">
      <alignment vertical="center" wrapText="1"/>
    </xf>
    <xf numFmtId="3" fontId="7" fillId="6" borderId="0" xfId="11" applyNumberFormat="1" applyFont="1" applyFill="1" applyBorder="1" applyAlignment="1">
      <alignment horizontal="left" vertical="center" wrapText="1"/>
    </xf>
    <xf numFmtId="3" fontId="7" fillId="0" borderId="7" xfId="4" applyNumberFormat="1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right"/>
    </xf>
    <xf numFmtId="0" fontId="7" fillId="6" borderId="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3" fontId="7" fillId="7" borderId="7" xfId="0" applyNumberFormat="1" applyFont="1" applyFill="1" applyBorder="1" applyAlignment="1">
      <alignment horizontal="left" vertical="center" wrapText="1"/>
    </xf>
    <xf numFmtId="1" fontId="7" fillId="7" borderId="0" xfId="1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3" fontId="7" fillId="0" borderId="7" xfId="4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1" fontId="7" fillId="2" borderId="3" xfId="3" applyNumberFormat="1" applyFont="1" applyFill="1" applyBorder="1" applyAlignment="1">
      <alignment horizontal="left" vertical="center" wrapText="1"/>
    </xf>
    <xf numFmtId="0" fontId="7" fillId="7" borderId="1" xfId="3" applyFont="1" applyFill="1" applyBorder="1" applyAlignment="1">
      <alignment horizontal="center" vertical="center" wrapText="1"/>
    </xf>
    <xf numFmtId="0" fontId="7" fillId="4" borderId="0" xfId="3" applyFont="1" applyFill="1" applyBorder="1" applyAlignment="1">
      <alignment horizontal="center" vertical="center" wrapText="1"/>
    </xf>
    <xf numFmtId="0" fontId="7" fillId="5" borderId="0" xfId="3" applyFont="1" applyFill="1" applyBorder="1" applyAlignment="1">
      <alignment horizontal="center" vertical="center" wrapText="1"/>
    </xf>
    <xf numFmtId="1" fontId="7" fillId="4" borderId="2" xfId="3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3" fontId="7" fillId="0" borderId="4" xfId="6" applyNumberFormat="1" applyFont="1" applyFill="1" applyBorder="1" applyAlignment="1">
      <alignment vertical="center" wrapText="1"/>
    </xf>
    <xf numFmtId="3" fontId="0" fillId="0" borderId="0" xfId="0" applyNumberFormat="1" applyFill="1" applyBorder="1"/>
    <xf numFmtId="164" fontId="7" fillId="2" borderId="0" xfId="0" applyNumberFormat="1" applyFont="1" applyFill="1" applyBorder="1" applyAlignment="1">
      <alignment vertical="center" wrapText="1"/>
    </xf>
    <xf numFmtId="3" fontId="7" fillId="6" borderId="11" xfId="0" applyNumberFormat="1" applyFont="1" applyFill="1" applyBorder="1" applyAlignment="1">
      <alignment vertical="center" wrapText="1"/>
    </xf>
    <xf numFmtId="3" fontId="9" fillId="0" borderId="13" xfId="0" applyNumberFormat="1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/>
    </xf>
    <xf numFmtId="3" fontId="9" fillId="0" borderId="12" xfId="0" applyNumberFormat="1" applyFont="1" applyFill="1" applyBorder="1" applyAlignment="1">
      <alignment horizontal="left" vertical="center" wrapText="1"/>
    </xf>
    <xf numFmtId="3" fontId="7" fillId="0" borderId="14" xfId="0" applyNumberFormat="1" applyFont="1" applyFill="1" applyBorder="1" applyAlignment="1">
      <alignment vertical="center" wrapText="1"/>
    </xf>
    <xf numFmtId="3" fontId="7" fillId="0" borderId="14" xfId="0" applyNumberFormat="1" applyFont="1" applyFill="1" applyBorder="1" applyAlignment="1">
      <alignment horizontal="left" vertical="center" wrapText="1"/>
    </xf>
    <xf numFmtId="3" fontId="7" fillId="0" borderId="15" xfId="0" applyNumberFormat="1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7" fillId="6" borderId="17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right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right" vertical="center" wrapText="1"/>
    </xf>
    <xf numFmtId="3" fontId="7" fillId="0" borderId="13" xfId="0" applyNumberFormat="1" applyFont="1" applyFill="1" applyBorder="1" applyAlignment="1">
      <alignment horizontal="left" vertical="center" wrapText="1"/>
    </xf>
    <xf numFmtId="3" fontId="7" fillId="6" borderId="12" xfId="0" applyNumberFormat="1" applyFont="1" applyFill="1" applyBorder="1" applyAlignment="1">
      <alignment horizontal="left" vertical="center" wrapText="1"/>
    </xf>
    <xf numFmtId="3" fontId="7" fillId="0" borderId="12" xfId="0" applyNumberFormat="1" applyFont="1" applyFill="1" applyBorder="1" applyAlignment="1">
      <alignment horizontal="left" vertical="center" wrapText="1"/>
    </xf>
    <xf numFmtId="3" fontId="7" fillId="0" borderId="15" xfId="0" applyNumberFormat="1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vertical="center"/>
      <protection locked="0"/>
    </xf>
    <xf numFmtId="3" fontId="7" fillId="0" borderId="7" xfId="11" applyNumberFormat="1" applyFont="1" applyFill="1" applyBorder="1" applyAlignment="1">
      <alignment horizontal="left" vertical="center" wrapText="1"/>
    </xf>
    <xf numFmtId="3" fontId="9" fillId="0" borderId="0" xfId="0" applyNumberFormat="1" applyFont="1" applyAlignment="1"/>
    <xf numFmtId="0" fontId="7" fillId="3" borderId="0" xfId="0" applyFont="1" applyFill="1" applyBorder="1" applyAlignment="1">
      <alignment horizontal="center" vertical="center" readingOrder="1"/>
    </xf>
    <xf numFmtId="0" fontId="9" fillId="0" borderId="0" xfId="0" applyFont="1" applyAlignment="1">
      <alignment horizontal="left" readingOrder="1"/>
    </xf>
    <xf numFmtId="0" fontId="7" fillId="2" borderId="3" xfId="0" applyFont="1" applyFill="1" applyBorder="1" applyAlignment="1">
      <alignment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vertical="center" wrapText="1" readingOrder="1"/>
    </xf>
    <xf numFmtId="0" fontId="7" fillId="7" borderId="0" xfId="0" applyFont="1" applyFill="1" applyBorder="1" applyAlignment="1">
      <alignment horizontal="right" vertical="center" wrapText="1" readingOrder="1"/>
    </xf>
    <xf numFmtId="0" fontId="7" fillId="2" borderId="0" xfId="0" applyFont="1" applyFill="1" applyBorder="1" applyAlignment="1">
      <alignment vertical="center" wrapText="1" readingOrder="1"/>
    </xf>
    <xf numFmtId="0" fontId="7" fillId="3" borderId="0" xfId="0" applyFont="1" applyFill="1" applyBorder="1" applyAlignment="1">
      <alignment horizontal="right" vertical="center" wrapText="1" readingOrder="1"/>
    </xf>
    <xf numFmtId="0" fontId="11" fillId="3" borderId="0" xfId="0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horizontal="right" vertical="center" wrapText="1" readingOrder="1"/>
    </xf>
    <xf numFmtId="0" fontId="7" fillId="3" borderId="0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right" vertical="center" wrapText="1" readingOrder="1"/>
    </xf>
    <xf numFmtId="0" fontId="7" fillId="3" borderId="2" xfId="0" applyFont="1" applyFill="1" applyBorder="1" applyAlignment="1">
      <alignment horizontal="right" vertical="center" wrapText="1" readingOrder="1"/>
    </xf>
    <xf numFmtId="0" fontId="7" fillId="2" borderId="2" xfId="0" applyFont="1" applyFill="1" applyBorder="1" applyAlignment="1">
      <alignment vertical="center" wrapText="1" readingOrder="1"/>
    </xf>
    <xf numFmtId="1" fontId="7" fillId="0" borderId="0" xfId="0" applyNumberFormat="1" applyFont="1" applyFill="1" applyBorder="1" applyAlignment="1">
      <alignment horizontal="right" vertical="center" wrapText="1" readingOrder="1"/>
    </xf>
    <xf numFmtId="3" fontId="7" fillId="0" borderId="0" xfId="0" applyNumberFormat="1" applyFont="1" applyFill="1" applyBorder="1" applyAlignment="1">
      <alignment vertical="center" wrapText="1" readingOrder="1"/>
    </xf>
    <xf numFmtId="3" fontId="7" fillId="0" borderId="0" xfId="0" applyNumberFormat="1" applyFont="1" applyFill="1" applyBorder="1" applyAlignment="1">
      <alignment readingOrder="1"/>
    </xf>
    <xf numFmtId="1" fontId="7" fillId="0" borderId="0" xfId="0" applyNumberFormat="1" applyFont="1" applyFill="1" applyBorder="1" applyAlignment="1">
      <alignment horizontal="left" vertical="center" wrapText="1" readingOrder="1"/>
    </xf>
    <xf numFmtId="1" fontId="7" fillId="6" borderId="0" xfId="0" applyNumberFormat="1" applyFont="1" applyFill="1" applyBorder="1" applyAlignment="1">
      <alignment horizontal="right" vertical="center" wrapText="1" readingOrder="1"/>
    </xf>
    <xf numFmtId="3" fontId="7" fillId="6" borderId="0" xfId="0" applyNumberFormat="1" applyFont="1" applyFill="1" applyBorder="1" applyAlignment="1">
      <alignment vertical="center" wrapText="1" readingOrder="1"/>
    </xf>
    <xf numFmtId="3" fontId="7" fillId="6" borderId="0" xfId="0" applyNumberFormat="1" applyFont="1" applyFill="1" applyBorder="1" applyAlignment="1">
      <alignment readingOrder="1"/>
    </xf>
    <xf numFmtId="1" fontId="7" fillId="6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7" fillId="6" borderId="0" xfId="0" applyFont="1" applyFill="1" applyBorder="1" applyAlignment="1">
      <alignment horizontal="right" vertical="center" wrapText="1" readingOrder="1"/>
    </xf>
    <xf numFmtId="1" fontId="9" fillId="0" borderId="0" xfId="0" applyNumberFormat="1" applyFont="1" applyFill="1" applyBorder="1" applyAlignment="1">
      <alignment horizontal="left" vertical="center" wrapText="1" readingOrder="1"/>
    </xf>
    <xf numFmtId="0" fontId="8" fillId="5" borderId="6" xfId="0" applyFont="1" applyFill="1" applyBorder="1" applyAlignment="1">
      <alignment vertical="center" wrapText="1" readingOrder="1"/>
    </xf>
    <xf numFmtId="3" fontId="7" fillId="4" borderId="6" xfId="0" applyNumberFormat="1" applyFont="1" applyFill="1" applyBorder="1" applyAlignment="1">
      <alignment vertical="center" wrapText="1" readingOrder="1"/>
    </xf>
    <xf numFmtId="0" fontId="8" fillId="4" borderId="6" xfId="0" applyFont="1" applyFill="1" applyBorder="1" applyAlignment="1">
      <alignment horizontal="left" vertical="center" wrapText="1" readingOrder="1"/>
    </xf>
    <xf numFmtId="0" fontId="0" fillId="0" borderId="0" xfId="0" applyAlignment="1">
      <alignment readingOrder="1"/>
    </xf>
    <xf numFmtId="0" fontId="7" fillId="5" borderId="0" xfId="0" applyFont="1" applyFill="1" applyBorder="1" applyAlignment="1">
      <alignment horizontal="right" vertical="center" wrapText="1" readingOrder="1"/>
    </xf>
    <xf numFmtId="0" fontId="7" fillId="4" borderId="0" xfId="0" applyFont="1" applyFill="1" applyBorder="1" applyAlignment="1">
      <alignment vertical="center" wrapText="1" readingOrder="1"/>
    </xf>
    <xf numFmtId="0" fontId="5" fillId="0" borderId="0" xfId="0" applyFont="1" applyAlignment="1">
      <alignment horizontal="left" readingOrder="1"/>
    </xf>
    <xf numFmtId="0" fontId="7" fillId="4" borderId="0" xfId="0" applyFont="1" applyFill="1" applyBorder="1" applyAlignment="1">
      <alignment horizontal="left" vertical="center" wrapText="1" readingOrder="1"/>
    </xf>
    <xf numFmtId="3" fontId="7" fillId="4" borderId="0" xfId="0" applyNumberFormat="1" applyFont="1" applyFill="1" applyBorder="1" applyAlignment="1">
      <alignment vertical="center" wrapText="1" readingOrder="1"/>
    </xf>
    <xf numFmtId="1" fontId="0" fillId="0" borderId="0" xfId="0" applyNumberFormat="1" applyAlignment="1">
      <alignment readingOrder="1"/>
    </xf>
    <xf numFmtId="0" fontId="7" fillId="0" borderId="0" xfId="0" applyFont="1" applyAlignment="1">
      <alignment horizontal="right" readingOrder="1"/>
    </xf>
    <xf numFmtId="3" fontId="7" fillId="4" borderId="0" xfId="7" applyNumberFormat="1" applyFont="1" applyFill="1" applyBorder="1" applyAlignment="1">
      <alignment vertical="center" wrapText="1" readingOrder="1"/>
    </xf>
    <xf numFmtId="0" fontId="7" fillId="4" borderId="0" xfId="5" applyFont="1" applyFill="1" applyBorder="1" applyAlignment="1">
      <alignment horizontal="left" vertical="center" wrapText="1" readingOrder="1"/>
    </xf>
    <xf numFmtId="0" fontId="0" fillId="0" borderId="0" xfId="0" applyBorder="1" applyAlignment="1">
      <alignment readingOrder="1"/>
    </xf>
    <xf numFmtId="0" fontId="0" fillId="5" borderId="0" xfId="0" applyFill="1" applyAlignment="1">
      <alignment readingOrder="1"/>
    </xf>
    <xf numFmtId="3" fontId="7" fillId="4" borderId="0" xfId="6" applyNumberFormat="1" applyFont="1" applyFill="1" applyBorder="1" applyAlignment="1">
      <alignment vertical="center" wrapText="1" readingOrder="1"/>
    </xf>
    <xf numFmtId="1" fontId="7" fillId="4" borderId="0" xfId="6" applyNumberFormat="1" applyFont="1" applyFill="1" applyBorder="1" applyAlignment="1">
      <alignment horizontal="left" vertical="center" wrapText="1" readingOrder="1"/>
    </xf>
    <xf numFmtId="0" fontId="0" fillId="2" borderId="0" xfId="0" applyFill="1" applyAlignment="1">
      <alignment readingOrder="1"/>
    </xf>
    <xf numFmtId="0" fontId="7" fillId="4" borderId="0" xfId="2" applyFont="1" applyFill="1" applyBorder="1" applyAlignment="1">
      <alignment horizontal="left" vertical="center" wrapText="1" readingOrder="1"/>
    </xf>
    <xf numFmtId="0" fontId="7" fillId="5" borderId="1" xfId="0" applyFont="1" applyFill="1" applyBorder="1" applyAlignment="1">
      <alignment vertical="center" readingOrder="1"/>
    </xf>
    <xf numFmtId="3" fontId="7" fillId="4" borderId="0" xfId="11" applyNumberFormat="1" applyFont="1" applyFill="1" applyBorder="1" applyAlignment="1">
      <alignment vertical="center" wrapText="1" readingOrder="1"/>
    </xf>
    <xf numFmtId="0" fontId="7" fillId="5" borderId="0" xfId="0" applyFont="1" applyFill="1" applyBorder="1" applyAlignment="1">
      <alignment vertical="center" wrapText="1" readingOrder="1"/>
    </xf>
    <xf numFmtId="1" fontId="7" fillId="4" borderId="0" xfId="0" applyNumberFormat="1" applyFont="1" applyFill="1" applyBorder="1" applyAlignment="1">
      <alignment horizontal="left" vertical="center" wrapText="1" readingOrder="1"/>
    </xf>
    <xf numFmtId="3" fontId="0" fillId="0" borderId="0" xfId="0" applyNumberFormat="1" applyAlignment="1">
      <alignment readingOrder="1"/>
    </xf>
    <xf numFmtId="0" fontId="5" fillId="5" borderId="0" xfId="0" applyFont="1" applyFill="1" applyBorder="1" applyAlignment="1">
      <alignment vertical="center" wrapText="1" readingOrder="1"/>
    </xf>
    <xf numFmtId="0" fontId="0" fillId="0" borderId="0" xfId="0" applyFill="1" applyAlignment="1">
      <alignment readingOrder="1"/>
    </xf>
    <xf numFmtId="167" fontId="0" fillId="0" borderId="0" xfId="1" applyNumberFormat="1" applyFont="1" applyAlignment="1">
      <alignment readingOrder="1"/>
    </xf>
    <xf numFmtId="167" fontId="0" fillId="0" borderId="0" xfId="0" applyNumberFormat="1" applyAlignment="1">
      <alignment readingOrder="1"/>
    </xf>
    <xf numFmtId="168" fontId="0" fillId="0" borderId="0" xfId="0" applyNumberFormat="1" applyAlignment="1">
      <alignment readingOrder="1"/>
    </xf>
    <xf numFmtId="0" fontId="7" fillId="0" borderId="0" xfId="0" applyFont="1" applyAlignment="1">
      <alignment horizontal="left" readingOrder="1"/>
    </xf>
    <xf numFmtId="0" fontId="7" fillId="5" borderId="0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readingOrder="1"/>
    </xf>
    <xf numFmtId="0" fontId="0" fillId="0" borderId="0" xfId="0" applyAlignment="1">
      <alignment horizontal="center" readingOrder="1"/>
    </xf>
    <xf numFmtId="1" fontId="1" fillId="0" borderId="0" xfId="0" applyNumberFormat="1" applyFont="1" applyAlignment="1">
      <alignment readingOrder="1"/>
    </xf>
    <xf numFmtId="0" fontId="0" fillId="0" borderId="0" xfId="0" applyAlignment="1">
      <alignment horizontal="left" readingOrder="1"/>
    </xf>
    <xf numFmtId="0" fontId="9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5" borderId="0" xfId="0" applyFont="1" applyFill="1" applyAlignment="1">
      <alignment readingOrder="1"/>
    </xf>
    <xf numFmtId="3" fontId="7" fillId="6" borderId="0" xfId="0" applyNumberFormat="1" applyFont="1" applyFill="1" applyBorder="1" applyAlignment="1" applyProtection="1">
      <alignment horizontal="right" vertical="center" readingOrder="1"/>
      <protection locked="0"/>
    </xf>
    <xf numFmtId="0" fontId="7" fillId="6" borderId="0" xfId="0" applyFont="1" applyFill="1" applyBorder="1" applyAlignment="1">
      <alignment vertical="center" readingOrder="1"/>
    </xf>
    <xf numFmtId="0" fontId="7" fillId="5" borderId="0" xfId="0" applyFont="1" applyFill="1" applyBorder="1" applyAlignment="1">
      <alignment vertical="center" readingOrder="1"/>
    </xf>
    <xf numFmtId="0" fontId="10" fillId="0" borderId="0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readingOrder="1"/>
    </xf>
    <xf numFmtId="3" fontId="7" fillId="6" borderId="3" xfId="0" applyNumberFormat="1" applyFont="1" applyFill="1" applyBorder="1" applyAlignment="1" applyProtection="1">
      <alignment horizontal="right" vertical="center" readingOrder="1"/>
      <protection locked="0"/>
    </xf>
    <xf numFmtId="0" fontId="7" fillId="6" borderId="0" xfId="0" applyFont="1" applyFill="1" applyBorder="1" applyAlignment="1" applyProtection="1">
      <alignment horizontal="right" readingOrder="1"/>
      <protection locked="0"/>
    </xf>
    <xf numFmtId="0" fontId="7" fillId="0" borderId="0" xfId="0" applyFont="1" applyFill="1" applyBorder="1" applyAlignment="1" applyProtection="1">
      <alignment horizontal="right" readingOrder="1"/>
      <protection locked="0"/>
    </xf>
    <xf numFmtId="3" fontId="7" fillId="0" borderId="0" xfId="0" applyNumberFormat="1" applyFont="1" applyFill="1" applyBorder="1" applyAlignment="1" applyProtection="1">
      <alignment horizontal="right" vertical="center" readingOrder="1"/>
      <protection locked="0"/>
    </xf>
    <xf numFmtId="3" fontId="7" fillId="6" borderId="0" xfId="0" applyNumberFormat="1" applyFont="1" applyFill="1" applyAlignment="1">
      <alignment horizontal="right" readingOrder="1"/>
    </xf>
    <xf numFmtId="1" fontId="7" fillId="0" borderId="0" xfId="0" applyNumberFormat="1" applyFont="1" applyFill="1" applyBorder="1" applyAlignment="1" applyProtection="1">
      <alignment horizontal="right" vertical="center" readingOrder="1"/>
      <protection locked="0"/>
    </xf>
    <xf numFmtId="0" fontId="7" fillId="6" borderId="0" xfId="0" applyFont="1" applyFill="1" applyAlignment="1">
      <alignment readingOrder="1"/>
    </xf>
    <xf numFmtId="0" fontId="7" fillId="0" borderId="0" xfId="0" applyFont="1" applyFill="1" applyAlignment="1">
      <alignment readingOrder="1"/>
    </xf>
    <xf numFmtId="3" fontId="7" fillId="0" borderId="0" xfId="0" applyNumberFormat="1" applyFont="1" applyFill="1" applyAlignment="1">
      <alignment horizontal="right" readingOrder="1"/>
    </xf>
    <xf numFmtId="0" fontId="7" fillId="0" borderId="0" xfId="0" applyFont="1" applyFill="1" applyAlignment="1">
      <alignment horizontal="right" readingOrder="1"/>
    </xf>
    <xf numFmtId="1" fontId="7" fillId="6" borderId="0" xfId="0" applyNumberFormat="1" applyFont="1" applyFill="1" applyAlignment="1">
      <alignment horizontal="right" readingOrder="1"/>
    </xf>
    <xf numFmtId="3" fontId="7" fillId="0" borderId="0" xfId="0" applyNumberFormat="1" applyFont="1" applyAlignment="1">
      <alignment horizontal="right" readingOrder="1"/>
    </xf>
    <xf numFmtId="3" fontId="7" fillId="6" borderId="0" xfId="0" applyNumberFormat="1" applyFont="1" applyFill="1" applyBorder="1" applyAlignment="1">
      <alignment horizontal="left" vertical="center" wrapText="1" readingOrder="1"/>
    </xf>
    <xf numFmtId="0" fontId="7" fillId="2" borderId="0" xfId="0" applyFont="1" applyFill="1" applyBorder="1" applyAlignment="1">
      <alignment horizontal="left" vertical="center" wrapText="1" readingOrder="1"/>
    </xf>
    <xf numFmtId="0" fontId="7" fillId="2" borderId="0" xfId="0" applyFont="1" applyFill="1" applyBorder="1" applyAlignment="1">
      <alignment horizontal="center" vertical="center" wrapText="1" readingOrder="1"/>
    </xf>
    <xf numFmtId="0" fontId="7" fillId="6" borderId="0" xfId="0" applyFont="1" applyFill="1" applyBorder="1" applyAlignment="1">
      <alignment horizontal="center" vertical="center" wrapText="1" readingOrder="1"/>
    </xf>
    <xf numFmtId="1" fontId="0" fillId="0" borderId="0" xfId="0" applyNumberFormat="1" applyFill="1" applyAlignment="1">
      <alignment readingOrder="1"/>
    </xf>
    <xf numFmtId="3" fontId="7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Alignment="1">
      <alignment readingOrder="1"/>
    </xf>
    <xf numFmtId="0" fontId="7" fillId="2" borderId="0" xfId="0" applyNumberFormat="1" applyFont="1" applyFill="1" applyBorder="1" applyAlignment="1">
      <alignment horizontal="right" vertical="center" wrapText="1" readingOrder="1"/>
    </xf>
    <xf numFmtId="0" fontId="7" fillId="2" borderId="0" xfId="0" applyFont="1" applyFill="1" applyAlignment="1">
      <alignment readingOrder="1"/>
    </xf>
    <xf numFmtId="0" fontId="7" fillId="6" borderId="0" xfId="0" applyFont="1" applyFill="1" applyBorder="1" applyAlignment="1">
      <alignment vertical="center" wrapText="1" readingOrder="1"/>
    </xf>
    <xf numFmtId="3" fontId="7" fillId="0" borderId="0" xfId="0" applyNumberFormat="1" applyFont="1" applyFill="1" applyBorder="1" applyAlignment="1">
      <alignment horizontal="right" readingOrder="1"/>
    </xf>
    <xf numFmtId="1" fontId="0" fillId="0" borderId="0" xfId="0" applyNumberFormat="1" applyFill="1" applyBorder="1" applyAlignment="1">
      <alignment readingOrder="1"/>
    </xf>
    <xf numFmtId="0" fontId="0" fillId="0" borderId="0" xfId="0" applyFill="1" applyBorder="1" applyAlignment="1">
      <alignment readingOrder="1"/>
    </xf>
    <xf numFmtId="3" fontId="7" fillId="6" borderId="0" xfId="0" applyNumberFormat="1" applyFont="1" applyFill="1" applyAlignment="1">
      <alignment readingOrder="1"/>
    </xf>
    <xf numFmtId="3" fontId="7" fillId="0" borderId="0" xfId="0" applyNumberFormat="1" applyFont="1" applyFill="1" applyAlignment="1">
      <alignment readingOrder="1"/>
    </xf>
    <xf numFmtId="0" fontId="8" fillId="0" borderId="0" xfId="0" applyFont="1" applyFill="1" applyBorder="1" applyAlignment="1">
      <alignment horizontal="right" vertical="center" wrapText="1" readingOrder="1"/>
    </xf>
    <xf numFmtId="3" fontId="8" fillId="0" borderId="0" xfId="0" applyNumberFormat="1" applyFont="1" applyFill="1" applyAlignment="1">
      <alignment horizontal="right" readingOrder="1"/>
    </xf>
    <xf numFmtId="3" fontId="8" fillId="0" borderId="0" xfId="0" applyNumberFormat="1" applyFont="1" applyFill="1" applyAlignment="1">
      <alignment readingOrder="1"/>
    </xf>
    <xf numFmtId="1" fontId="1" fillId="0" borderId="0" xfId="0" applyNumberFormat="1" applyFont="1" applyFill="1" applyAlignment="1">
      <alignment readingOrder="1"/>
    </xf>
    <xf numFmtId="0" fontId="1" fillId="0" borderId="0" xfId="0" applyFont="1" applyFill="1" applyAlignment="1">
      <alignment readingOrder="1"/>
    </xf>
    <xf numFmtId="0" fontId="7" fillId="0" borderId="7" xfId="0" applyFont="1" applyFill="1" applyBorder="1" applyAlignment="1">
      <alignment horizontal="right" vertical="center" wrapText="1" readingOrder="1"/>
    </xf>
    <xf numFmtId="3" fontId="7" fillId="0" borderId="7" xfId="0" applyNumberFormat="1" applyFont="1" applyFill="1" applyBorder="1" applyAlignment="1">
      <alignment vertical="center" wrapText="1" readingOrder="1"/>
    </xf>
    <xf numFmtId="0" fontId="7" fillId="0" borderId="7" xfId="0" applyFont="1" applyFill="1" applyBorder="1" applyAlignment="1">
      <alignment horizontal="left" vertical="center" wrapText="1" readingOrder="1"/>
    </xf>
    <xf numFmtId="0" fontId="0" fillId="0" borderId="0" xfId="0" applyFill="1" applyBorder="1" applyAlignment="1">
      <alignment horizontal="left" readingOrder="1"/>
    </xf>
    <xf numFmtId="1" fontId="0" fillId="0" borderId="0" xfId="0" applyNumberFormat="1" applyFill="1" applyBorder="1" applyAlignment="1">
      <alignment horizontal="left" readingOrder="1"/>
    </xf>
    <xf numFmtId="0" fontId="7" fillId="3" borderId="3" xfId="0" applyFont="1" applyFill="1" applyBorder="1" applyAlignment="1">
      <alignment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right" vertical="center" wrapText="1" readingOrder="1"/>
    </xf>
    <xf numFmtId="0" fontId="11" fillId="6" borderId="1" xfId="0" applyFont="1" applyFill="1" applyBorder="1" applyAlignment="1">
      <alignment vertical="center" wrapText="1" readingOrder="1"/>
    </xf>
    <xf numFmtId="0" fontId="11" fillId="6" borderId="1" xfId="0" applyFont="1" applyFill="1" applyBorder="1" applyAlignment="1">
      <alignment horizontal="center" vertical="center" wrapText="1" readingOrder="1"/>
    </xf>
    <xf numFmtId="0" fontId="11" fillId="2" borderId="0" xfId="0" applyFont="1" applyFill="1" applyBorder="1" applyAlignment="1">
      <alignment readingOrder="1"/>
    </xf>
    <xf numFmtId="0" fontId="11" fillId="2" borderId="0" xfId="0" applyFont="1" applyFill="1" applyBorder="1" applyAlignment="1">
      <alignment horizontal="center" readingOrder="1"/>
    </xf>
    <xf numFmtId="0" fontId="11" fillId="3" borderId="0" xfId="0" applyFont="1" applyFill="1" applyBorder="1" applyAlignment="1">
      <alignment vertical="center" wrapText="1" readingOrder="1"/>
    </xf>
    <xf numFmtId="0" fontId="11" fillId="3" borderId="2" xfId="0" applyFont="1" applyFill="1" applyBorder="1" applyAlignment="1">
      <alignment horizontal="right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left" vertical="center" wrapText="1" readingOrder="1"/>
    </xf>
    <xf numFmtId="3" fontId="7" fillId="7" borderId="0" xfId="0" applyNumberFormat="1" applyFont="1" applyFill="1" applyBorder="1" applyAlignment="1">
      <alignment vertical="center" wrapText="1" readingOrder="1"/>
    </xf>
    <xf numFmtId="1" fontId="7" fillId="7" borderId="0" xfId="0" applyNumberFormat="1" applyFont="1" applyFill="1" applyBorder="1" applyAlignment="1">
      <alignment vertical="center" wrapText="1" readingOrder="1"/>
    </xf>
    <xf numFmtId="0" fontId="7" fillId="7" borderId="0" xfId="0" applyFont="1" applyFill="1" applyBorder="1" applyAlignment="1">
      <alignment horizontal="left" vertical="center" wrapText="1" readingOrder="1"/>
    </xf>
    <xf numFmtId="0" fontId="11" fillId="3" borderId="0" xfId="0" applyFont="1" applyFill="1" applyBorder="1" applyAlignment="1">
      <alignment horizontal="right" vertical="center" wrapText="1" readingOrder="1"/>
    </xf>
    <xf numFmtId="1" fontId="11" fillId="3" borderId="0" xfId="0" applyNumberFormat="1" applyFont="1" applyFill="1" applyBorder="1" applyAlignment="1">
      <alignment vertical="center" wrapText="1" readingOrder="1"/>
    </xf>
    <xf numFmtId="1" fontId="7" fillId="0" borderId="0" xfId="0" applyNumberFormat="1" applyFont="1" applyFill="1" applyBorder="1" applyAlignment="1">
      <alignment vertical="center" wrapText="1" readingOrder="1"/>
    </xf>
    <xf numFmtId="0" fontId="8" fillId="5" borderId="5" xfId="0" applyFont="1" applyFill="1" applyBorder="1" applyAlignment="1">
      <alignment vertical="center" wrapText="1" readingOrder="1"/>
    </xf>
    <xf numFmtId="3" fontId="7" fillId="4" borderId="5" xfId="0" applyNumberFormat="1" applyFont="1" applyFill="1" applyBorder="1" applyAlignment="1">
      <alignment vertical="center" wrapText="1" readingOrder="1"/>
    </xf>
    <xf numFmtId="0" fontId="9" fillId="0" borderId="4" xfId="0" applyFont="1" applyBorder="1" applyAlignment="1">
      <alignment readingOrder="1"/>
    </xf>
    <xf numFmtId="0" fontId="9" fillId="0" borderId="0" xfId="0" applyFont="1" applyBorder="1" applyAlignment="1">
      <alignment horizontal="center" readingOrder="1"/>
    </xf>
    <xf numFmtId="0" fontId="7" fillId="0" borderId="0" xfId="0" applyFont="1" applyAlignment="1">
      <alignment horizontal="center" readingOrder="1"/>
    </xf>
    <xf numFmtId="0" fontId="7" fillId="7" borderId="0" xfId="0" applyFont="1" applyFill="1" applyBorder="1" applyAlignment="1">
      <alignment horizontal="center" vertical="center" wrapText="1" readingOrder="1"/>
    </xf>
    <xf numFmtId="0" fontId="7" fillId="6" borderId="0" xfId="0" applyFont="1" applyFill="1" applyBorder="1" applyAlignment="1">
      <alignment readingOrder="1"/>
    </xf>
    <xf numFmtId="0" fontId="7" fillId="6" borderId="0" xfId="0" applyFont="1" applyFill="1" applyBorder="1" applyAlignment="1">
      <alignment horizontal="right" readingOrder="1"/>
    </xf>
    <xf numFmtId="0" fontId="7" fillId="7" borderId="0" xfId="0" applyFont="1" applyFill="1" applyBorder="1" applyAlignment="1">
      <alignment horizontal="right" wrapText="1" readingOrder="1"/>
    </xf>
    <xf numFmtId="0" fontId="7" fillId="2" borderId="0" xfId="0" applyFont="1" applyFill="1" applyAlignment="1">
      <alignment horizontal="right" readingOrder="1"/>
    </xf>
    <xf numFmtId="0" fontId="7" fillId="3" borderId="0" xfId="0" applyFont="1" applyFill="1" applyBorder="1" applyAlignment="1">
      <alignment horizontal="right" wrapText="1" readingOrder="1"/>
    </xf>
    <xf numFmtId="0" fontId="7" fillId="2" borderId="0" xfId="0" applyFont="1" applyFill="1" applyBorder="1" applyAlignment="1">
      <alignment horizontal="right" wrapText="1" readingOrder="1"/>
    </xf>
    <xf numFmtId="1" fontId="7" fillId="7" borderId="0" xfId="0" applyNumberFormat="1" applyFont="1" applyFill="1" applyBorder="1" applyAlignment="1">
      <alignment horizontal="right" vertical="center" wrapText="1" readingOrder="1"/>
    </xf>
    <xf numFmtId="1" fontId="7" fillId="7" borderId="0" xfId="0" applyNumberFormat="1" applyFont="1" applyFill="1" applyBorder="1" applyAlignment="1">
      <alignment horizontal="left" vertical="center" wrapText="1" readingOrder="1"/>
    </xf>
    <xf numFmtId="1" fontId="7" fillId="4" borderId="0" xfId="0" applyNumberFormat="1" applyFont="1" applyFill="1" applyBorder="1" applyAlignment="1">
      <alignment horizontal="right" vertical="center" wrapText="1" readingOrder="1"/>
    </xf>
    <xf numFmtId="3" fontId="7" fillId="5" borderId="0" xfId="0" applyNumberFormat="1" applyFont="1" applyFill="1" applyBorder="1" applyAlignment="1">
      <alignment readingOrder="1"/>
    </xf>
    <xf numFmtId="3" fontId="7" fillId="7" borderId="3" xfId="0" applyNumberFormat="1" applyFont="1" applyFill="1" applyBorder="1" applyAlignment="1">
      <alignment vertical="center" wrapText="1" readingOrder="1"/>
    </xf>
    <xf numFmtId="3" fontId="7" fillId="6" borderId="3" xfId="0" applyNumberFormat="1" applyFont="1" applyFill="1" applyBorder="1" applyAlignment="1">
      <alignment readingOrder="1"/>
    </xf>
    <xf numFmtId="1" fontId="7" fillId="7" borderId="3" xfId="0" applyNumberFormat="1" applyFont="1" applyFill="1" applyBorder="1" applyAlignment="1">
      <alignment horizontal="left" vertical="center" wrapText="1" readingOrder="1"/>
    </xf>
    <xf numFmtId="0" fontId="8" fillId="5" borderId="7" xfId="0" applyFont="1" applyFill="1" applyBorder="1" applyAlignment="1">
      <alignment vertical="center" wrapText="1" readingOrder="1"/>
    </xf>
    <xf numFmtId="1" fontId="8" fillId="5" borderId="7" xfId="0" applyNumberFormat="1" applyFont="1" applyFill="1" applyBorder="1" applyAlignment="1">
      <alignment vertical="center" wrapText="1" readingOrder="1"/>
    </xf>
    <xf numFmtId="3" fontId="8" fillId="4" borderId="7" xfId="0" applyNumberFormat="1" applyFont="1" applyFill="1" applyBorder="1" applyAlignment="1">
      <alignment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0" fillId="5" borderId="0" xfId="0" applyFill="1" applyBorder="1" applyAlignment="1">
      <alignment readingOrder="1"/>
    </xf>
    <xf numFmtId="0" fontId="9" fillId="0" borderId="0" xfId="0" applyFont="1" applyBorder="1" applyAlignment="1">
      <alignment readingOrder="1"/>
    </xf>
    <xf numFmtId="0" fontId="7" fillId="4" borderId="0" xfId="0" applyFont="1" applyFill="1" applyBorder="1" applyAlignment="1">
      <alignment horizontal="center" vertical="center" wrapText="1" readingOrder="1"/>
    </xf>
    <xf numFmtId="1" fontId="7" fillId="3" borderId="0" xfId="0" applyNumberFormat="1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readingOrder="1"/>
    </xf>
    <xf numFmtId="0" fontId="7" fillId="6" borderId="1" xfId="0" applyFont="1" applyFill="1" applyBorder="1" applyAlignment="1">
      <alignment horizontal="right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readingOrder="1"/>
    </xf>
    <xf numFmtId="0" fontId="7" fillId="2" borderId="2" xfId="0" applyFont="1" applyFill="1" applyBorder="1" applyAlignment="1">
      <alignment horizontal="left" vertical="center" wrapText="1" readingOrder="1"/>
    </xf>
    <xf numFmtId="0" fontId="6" fillId="0" borderId="0" xfId="0" applyFont="1" applyFill="1" applyAlignment="1">
      <alignment readingOrder="1"/>
    </xf>
    <xf numFmtId="0" fontId="8" fillId="0" borderId="6" xfId="0" applyFont="1" applyFill="1" applyBorder="1" applyAlignment="1">
      <alignment horizontal="right" vertical="center" wrapText="1" readingOrder="1"/>
    </xf>
    <xf numFmtId="3" fontId="7" fillId="0" borderId="6" xfId="0" applyNumberFormat="1" applyFont="1" applyFill="1" applyBorder="1" applyAlignment="1">
      <alignment horizontal="left" vertical="center" wrapText="1" readingOrder="1"/>
    </xf>
    <xf numFmtId="0" fontId="8" fillId="0" borderId="6" xfId="0" applyFont="1" applyFill="1" applyBorder="1" applyAlignment="1">
      <alignment horizontal="left" vertical="center" wrapText="1" readingOrder="1"/>
    </xf>
    <xf numFmtId="1" fontId="7" fillId="3" borderId="0" xfId="0" applyNumberFormat="1" applyFont="1" applyFill="1" applyBorder="1" applyAlignment="1">
      <alignment horizontal="center" vertical="center" wrapText="1" readingOrder="1"/>
    </xf>
    <xf numFmtId="1" fontId="7" fillId="3" borderId="0" xfId="0" applyNumberFormat="1" applyFont="1" applyFill="1" applyBorder="1" applyAlignment="1">
      <alignment vertical="center" wrapText="1" readingOrder="1"/>
    </xf>
    <xf numFmtId="0" fontId="7" fillId="6" borderId="22" xfId="0" applyFont="1" applyFill="1" applyBorder="1" applyAlignment="1">
      <alignment readingOrder="1"/>
    </xf>
    <xf numFmtId="1" fontId="7" fillId="6" borderId="22" xfId="0" applyNumberFormat="1" applyFont="1" applyFill="1" applyBorder="1" applyAlignment="1">
      <alignment readingOrder="1"/>
    </xf>
    <xf numFmtId="167" fontId="7" fillId="6" borderId="22" xfId="1" applyNumberFormat="1" applyFont="1" applyFill="1" applyBorder="1" applyAlignment="1">
      <alignment readingOrder="1"/>
    </xf>
    <xf numFmtId="0" fontId="8" fillId="0" borderId="2" xfId="0" applyFont="1" applyFill="1" applyBorder="1" applyAlignment="1">
      <alignment horizontal="right" vertical="center" wrapText="1" readingOrder="1"/>
    </xf>
    <xf numFmtId="3" fontId="8" fillId="0" borderId="2" xfId="0" applyNumberFormat="1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left" vertical="center" wrapText="1" readingOrder="1"/>
    </xf>
    <xf numFmtId="1" fontId="7" fillId="3" borderId="3" xfId="0" applyNumberFormat="1" applyFont="1" applyFill="1" applyBorder="1" applyAlignment="1">
      <alignment vertical="center" wrapText="1" readingOrder="1"/>
    </xf>
    <xf numFmtId="0" fontId="7" fillId="2" borderId="3" xfId="0" applyFont="1" applyFill="1" applyBorder="1" applyAlignment="1">
      <alignment vertical="center" wrapText="1" readingOrder="1"/>
    </xf>
    <xf numFmtId="1" fontId="7" fillId="3" borderId="3" xfId="0" applyNumberFormat="1" applyFont="1" applyFill="1" applyBorder="1" applyAlignment="1">
      <alignment horizontal="left" vertical="center" wrapText="1" readingOrder="1"/>
    </xf>
    <xf numFmtId="0" fontId="13" fillId="6" borderId="0" xfId="0" applyFont="1" applyFill="1" applyBorder="1" applyAlignment="1">
      <alignment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readingOrder="1"/>
    </xf>
    <xf numFmtId="0" fontId="8" fillId="6" borderId="0" xfId="0" applyFont="1" applyFill="1" applyAlignment="1">
      <alignment readingOrder="1"/>
    </xf>
    <xf numFmtId="1" fontId="8" fillId="0" borderId="0" xfId="0" applyNumberFormat="1" applyFont="1" applyAlignment="1">
      <alignment readingOrder="1"/>
    </xf>
    <xf numFmtId="1" fontId="0" fillId="5" borderId="0" xfId="0" applyNumberFormat="1" applyFill="1" applyAlignment="1">
      <alignment readingOrder="1"/>
    </xf>
    <xf numFmtId="0" fontId="7" fillId="5" borderId="6" xfId="0" applyFont="1" applyFill="1" applyBorder="1" applyAlignment="1">
      <alignment horizontal="right" vertical="center" wrapText="1" readingOrder="1"/>
    </xf>
    <xf numFmtId="1" fontId="7" fillId="4" borderId="6" xfId="0" applyNumberFormat="1" applyFont="1" applyFill="1" applyBorder="1" applyAlignment="1">
      <alignment horizontal="left" vertical="center" wrapText="1" readingOrder="1"/>
    </xf>
    <xf numFmtId="167" fontId="7" fillId="4" borderId="6" xfId="1" applyNumberFormat="1" applyFont="1" applyFill="1" applyBorder="1" applyAlignment="1">
      <alignment horizontal="left" vertical="center" wrapText="1" readingOrder="1"/>
    </xf>
    <xf numFmtId="0" fontId="7" fillId="6" borderId="0" xfId="0" applyFont="1" applyFill="1" applyBorder="1" applyAlignment="1">
      <alignment horizontal="left" vertical="center" wrapText="1" readingOrder="1"/>
    </xf>
    <xf numFmtId="0" fontId="8" fillId="0" borderId="0" xfId="0" applyFont="1" applyFill="1" applyAlignment="1">
      <alignment readingOrder="1"/>
    </xf>
    <xf numFmtId="0" fontId="8" fillId="5" borderId="6" xfId="0" applyFont="1" applyFill="1" applyBorder="1" applyAlignment="1">
      <alignment horizontal="right" vertical="center" wrapText="1" readingOrder="1"/>
    </xf>
    <xf numFmtId="0" fontId="4" fillId="2" borderId="0" xfId="0" applyFont="1" applyFill="1" applyAlignment="1">
      <alignment readingOrder="1"/>
    </xf>
    <xf numFmtId="0" fontId="8" fillId="7" borderId="0" xfId="0" applyFont="1" applyFill="1" applyBorder="1" applyAlignment="1">
      <alignment horizontal="center" vertical="center" wrapText="1" readingOrder="1"/>
    </xf>
    <xf numFmtId="0" fontId="8" fillId="3" borderId="0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vertical="center" wrapText="1" readingOrder="1"/>
    </xf>
    <xf numFmtId="0" fontId="8" fillId="6" borderId="0" xfId="0" applyFont="1" applyFill="1" applyBorder="1" applyAlignment="1">
      <alignment horizontal="right" vertical="center" wrapText="1" readingOrder="1"/>
    </xf>
    <xf numFmtId="0" fontId="8" fillId="6" borderId="0" xfId="0" applyFont="1" applyFill="1" applyBorder="1" applyAlignment="1">
      <alignment horizontal="center" vertical="center" wrapText="1" readingOrder="1"/>
    </xf>
    <xf numFmtId="0" fontId="8" fillId="6" borderId="0" xfId="0" applyFont="1" applyFill="1" applyBorder="1" applyAlignment="1">
      <alignment readingOrder="1"/>
    </xf>
    <xf numFmtId="0" fontId="8" fillId="2" borderId="0" xfId="0" applyFont="1" applyFill="1" applyAlignment="1">
      <alignment readingOrder="1"/>
    </xf>
    <xf numFmtId="0" fontId="8" fillId="5" borderId="0" xfId="0" applyFont="1" applyFill="1" applyBorder="1" applyAlignment="1">
      <alignment horizontal="right" vertical="center" wrapText="1" readingOrder="1"/>
    </xf>
    <xf numFmtId="0" fontId="8" fillId="2" borderId="0" xfId="0" applyFont="1" applyFill="1" applyBorder="1" applyAlignment="1">
      <alignment horizontal="right" vertical="center" wrapText="1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right" vertical="center" wrapText="1" readingOrder="1"/>
    </xf>
    <xf numFmtId="0" fontId="8" fillId="2" borderId="2" xfId="0" applyFont="1" applyFill="1" applyBorder="1" applyAlignment="1">
      <alignment horizontal="right" readingOrder="1"/>
    </xf>
    <xf numFmtId="0" fontId="8" fillId="2" borderId="2" xfId="0" applyFont="1" applyFill="1" applyBorder="1" applyAlignment="1">
      <alignment vertical="center" wrapText="1" readingOrder="1"/>
    </xf>
    <xf numFmtId="1" fontId="8" fillId="6" borderId="0" xfId="0" applyNumberFormat="1" applyFont="1" applyFill="1" applyAlignment="1">
      <alignment readingOrder="1"/>
    </xf>
    <xf numFmtId="1" fontId="8" fillId="6" borderId="0" xfId="0" applyNumberFormat="1" applyFont="1" applyFill="1" applyBorder="1" applyAlignment="1">
      <alignment readingOrder="1"/>
    </xf>
    <xf numFmtId="3" fontId="8" fillId="6" borderId="0" xfId="0" applyNumberFormat="1" applyFont="1" applyFill="1" applyBorder="1" applyAlignment="1">
      <alignment readingOrder="1"/>
    </xf>
    <xf numFmtId="1" fontId="8" fillId="6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Alignment="1">
      <alignment readingOrder="1"/>
    </xf>
    <xf numFmtId="1" fontId="8" fillId="0" borderId="0" xfId="0" applyNumberFormat="1" applyFont="1" applyFill="1" applyBorder="1" applyAlignment="1">
      <alignment horizontal="right" readingOrder="1"/>
    </xf>
    <xf numFmtId="3" fontId="8" fillId="0" borderId="0" xfId="0" applyNumberFormat="1" applyFont="1" applyFill="1" applyBorder="1" applyAlignment="1">
      <alignment horizontal="left" vertical="center" wrapText="1" readingOrder="1"/>
    </xf>
    <xf numFmtId="1" fontId="8" fillId="6" borderId="0" xfId="0" applyNumberFormat="1" applyFont="1" applyFill="1" applyBorder="1" applyAlignment="1">
      <alignment vertical="center" wrapText="1" readingOrder="1"/>
    </xf>
    <xf numFmtId="3" fontId="8" fillId="6" borderId="0" xfId="0" applyNumberFormat="1" applyFont="1" applyFill="1" applyBorder="1" applyAlignment="1">
      <alignment vertical="center" wrapText="1" readingOrder="1"/>
    </xf>
    <xf numFmtId="1" fontId="8" fillId="0" borderId="0" xfId="0" applyNumberFormat="1" applyFont="1" applyFill="1" applyBorder="1" applyAlignment="1">
      <alignment vertical="center" wrapText="1" readingOrder="1"/>
    </xf>
    <xf numFmtId="3" fontId="8" fillId="0" borderId="0" xfId="0" applyNumberFormat="1" applyFont="1" applyFill="1" applyBorder="1" applyAlignment="1">
      <alignment vertical="center" wrapText="1" readingOrder="1"/>
    </xf>
    <xf numFmtId="3" fontId="8" fillId="6" borderId="0" xfId="0" applyNumberFormat="1" applyFont="1" applyFill="1" applyBorder="1" applyAlignment="1">
      <alignment horizontal="left" vertical="center" wrapText="1" readingOrder="1"/>
    </xf>
    <xf numFmtId="1" fontId="8" fillId="0" borderId="6" xfId="1" applyNumberFormat="1" applyFont="1" applyFill="1" applyBorder="1" applyAlignment="1">
      <alignment vertical="center" wrapText="1" readingOrder="1"/>
    </xf>
    <xf numFmtId="167" fontId="8" fillId="0" borderId="6" xfId="1" applyNumberFormat="1" applyFont="1" applyFill="1" applyBorder="1" applyAlignment="1">
      <alignment vertical="center" wrapText="1" readingOrder="1"/>
    </xf>
    <xf numFmtId="0" fontId="8" fillId="2" borderId="3" xfId="0" applyFont="1" applyFill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right" readingOrder="1"/>
    </xf>
    <xf numFmtId="3" fontId="7" fillId="5" borderId="0" xfId="7" applyNumberFormat="1" applyFont="1" applyFill="1" applyBorder="1" applyAlignment="1">
      <alignment readingOrder="1"/>
    </xf>
    <xf numFmtId="3" fontId="7" fillId="0" borderId="0" xfId="7" applyNumberFormat="1" applyFont="1" applyFill="1" applyBorder="1" applyAlignment="1">
      <alignment readingOrder="1"/>
    </xf>
    <xf numFmtId="3" fontId="8" fillId="6" borderId="0" xfId="7" applyNumberFormat="1" applyFont="1" applyFill="1" applyBorder="1" applyAlignment="1">
      <alignment readingOrder="1"/>
    </xf>
    <xf numFmtId="3" fontId="7" fillId="6" borderId="0" xfId="7" applyNumberFormat="1" applyFont="1" applyFill="1" applyBorder="1" applyAlignment="1">
      <alignment readingOrder="1"/>
    </xf>
    <xf numFmtId="3" fontId="7" fillId="6" borderId="0" xfId="6" applyNumberFormat="1" applyFont="1" applyFill="1" applyBorder="1" applyAlignment="1">
      <alignment readingOrder="1"/>
    </xf>
    <xf numFmtId="3" fontId="7" fillId="0" borderId="0" xfId="2" applyNumberFormat="1" applyFont="1" applyFill="1" applyBorder="1" applyAlignment="1">
      <alignment readingOrder="1"/>
    </xf>
    <xf numFmtId="3" fontId="7" fillId="7" borderId="0" xfId="0" applyNumberFormat="1" applyFont="1" applyFill="1" applyBorder="1" applyAlignment="1">
      <alignment readingOrder="1"/>
    </xf>
    <xf numFmtId="1" fontId="7" fillId="0" borderId="0" xfId="0" applyNumberFormat="1" applyFont="1" applyFill="1" applyBorder="1" applyAlignment="1">
      <alignment readingOrder="1"/>
    </xf>
    <xf numFmtId="0" fontId="7" fillId="2" borderId="3" xfId="0" applyFont="1" applyFill="1" applyBorder="1" applyAlignment="1">
      <alignment horizontal="right" readingOrder="1"/>
    </xf>
    <xf numFmtId="0" fontId="7" fillId="2" borderId="3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right" readingOrder="1"/>
    </xf>
    <xf numFmtId="0" fontId="8" fillId="0" borderId="0" xfId="0" applyFont="1" applyFill="1" applyAlignment="1">
      <alignment horizontal="right" readingOrder="1"/>
    </xf>
    <xf numFmtId="0" fontId="8" fillId="6" borderId="0" xfId="0" applyFont="1" applyFill="1" applyAlignment="1">
      <alignment horizontal="right" readingOrder="1"/>
    </xf>
    <xf numFmtId="0" fontId="6" fillId="2" borderId="0" xfId="0" applyFont="1" applyFill="1" applyAlignment="1">
      <alignment readingOrder="1"/>
    </xf>
    <xf numFmtId="0" fontId="8" fillId="5" borderId="6" xfId="0" applyFont="1" applyFill="1" applyBorder="1" applyAlignment="1">
      <alignment horizontal="left" vertical="center" wrapText="1" readingOrder="1"/>
    </xf>
    <xf numFmtId="167" fontId="8" fillId="5" borderId="6" xfId="1" applyNumberFormat="1" applyFont="1" applyFill="1" applyBorder="1" applyAlignment="1">
      <alignment horizontal="left" vertical="center" wrapText="1" readingOrder="1"/>
    </xf>
    <xf numFmtId="0" fontId="7" fillId="2" borderId="3" xfId="0" applyFont="1" applyFill="1" applyBorder="1" applyAlignment="1">
      <alignment horizontal="right" vertical="center" wrapText="1" readingOrder="1"/>
    </xf>
    <xf numFmtId="0" fontId="7" fillId="7" borderId="1" xfId="0" applyFont="1" applyFill="1" applyBorder="1" applyAlignment="1">
      <alignment horizontal="center" vertical="center" wrapText="1" readingOrder="1"/>
    </xf>
    <xf numFmtId="1" fontId="7" fillId="4" borderId="0" xfId="0" applyNumberFormat="1" applyFont="1" applyFill="1" applyBorder="1" applyAlignment="1">
      <alignment horizontal="center" vertical="center" wrapText="1" readingOrder="1"/>
    </xf>
    <xf numFmtId="0" fontId="7" fillId="6" borderId="0" xfId="0" applyFont="1" applyFill="1" applyAlignment="1">
      <alignment vertical="center" wrapText="1" readingOrder="1"/>
    </xf>
    <xf numFmtId="1" fontId="7" fillId="7" borderId="0" xfId="0" applyNumberFormat="1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right" vertical="center" wrapText="1" readingOrder="1"/>
    </xf>
    <xf numFmtId="0" fontId="7" fillId="4" borderId="0" xfId="0" applyFont="1" applyFill="1" applyBorder="1" applyAlignment="1">
      <alignment horizontal="right" vertical="center" wrapText="1" readingOrder="1"/>
    </xf>
    <xf numFmtId="1" fontId="9" fillId="7" borderId="0" xfId="0" applyNumberFormat="1" applyFont="1" applyFill="1" applyBorder="1" applyAlignment="1">
      <alignment horizontal="left" vertical="center" wrapText="1" readingOrder="1"/>
    </xf>
    <xf numFmtId="3" fontId="8" fillId="4" borderId="7" xfId="0" applyNumberFormat="1" applyFont="1" applyFill="1" applyBorder="1" applyAlignment="1">
      <alignment horizontal="right" vertical="center" wrapText="1" readingOrder="1"/>
    </xf>
    <xf numFmtId="3" fontId="7" fillId="5" borderId="7" xfId="0" applyNumberFormat="1" applyFont="1" applyFill="1" applyBorder="1" applyAlignment="1">
      <alignment vertical="center" readingOrder="1"/>
    </xf>
    <xf numFmtId="3" fontId="7" fillId="4" borderId="7" xfId="0" applyNumberFormat="1" applyFont="1" applyFill="1" applyBorder="1" applyAlignment="1">
      <alignment vertical="center" wrapText="1" readingOrder="1"/>
    </xf>
    <xf numFmtId="2" fontId="8" fillId="4" borderId="7" xfId="0" applyNumberFormat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center" readingOrder="1"/>
    </xf>
    <xf numFmtId="1" fontId="0" fillId="0" borderId="0" xfId="0" applyNumberFormat="1" applyBorder="1" applyAlignment="1">
      <alignment readingOrder="1"/>
    </xf>
    <xf numFmtId="0" fontId="7" fillId="7" borderId="0" xfId="0" applyFont="1" applyFill="1" applyBorder="1" applyAlignment="1">
      <alignment vertical="center" wrapText="1" readingOrder="1"/>
    </xf>
    <xf numFmtId="0" fontId="7" fillId="3" borderId="0" xfId="0" applyFont="1" applyFill="1" applyBorder="1" applyAlignment="1">
      <alignment horizontal="left" vertical="center" wrapText="1" readingOrder="1"/>
    </xf>
    <xf numFmtId="1" fontId="7" fillId="2" borderId="3" xfId="0" applyNumberFormat="1" applyFont="1" applyFill="1" applyBorder="1" applyAlignment="1">
      <alignment horizontal="right" vertical="center" wrapText="1" readingOrder="1"/>
    </xf>
    <xf numFmtId="0" fontId="7" fillId="4" borderId="2" xfId="0" applyFont="1" applyFill="1" applyBorder="1" applyAlignment="1">
      <alignment vertical="center" wrapText="1" readingOrder="1"/>
    </xf>
    <xf numFmtId="0" fontId="7" fillId="5" borderId="2" xfId="0" applyFont="1" applyFill="1" applyBorder="1" applyAlignment="1">
      <alignment horizontal="right" vertical="center" wrapText="1" readingOrder="1"/>
    </xf>
    <xf numFmtId="0" fontId="7" fillId="4" borderId="2" xfId="0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horizontal="center" readingOrder="1"/>
    </xf>
    <xf numFmtId="0" fontId="7" fillId="5" borderId="0" xfId="0" applyFont="1" applyFill="1" applyBorder="1" applyAlignment="1">
      <alignment horizontal="center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Alignment="1">
      <alignment horizontal="center" readingOrder="1"/>
    </xf>
    <xf numFmtId="1" fontId="7" fillId="4" borderId="2" xfId="0" applyNumberFormat="1" applyFont="1" applyFill="1" applyBorder="1" applyAlignment="1">
      <alignment horizontal="right" vertical="center" wrapText="1" readingOrder="1"/>
    </xf>
    <xf numFmtId="0" fontId="7" fillId="5" borderId="2" xfId="0" applyFont="1" applyFill="1" applyBorder="1" applyAlignment="1">
      <alignment vertical="center" wrapText="1" readingOrder="1"/>
    </xf>
    <xf numFmtId="166" fontId="7" fillId="6" borderId="0" xfId="0" applyNumberFormat="1" applyFont="1" applyFill="1" applyBorder="1" applyAlignment="1">
      <alignment readingOrder="1"/>
    </xf>
    <xf numFmtId="166" fontId="7" fillId="0" borderId="0" xfId="0" applyNumberFormat="1" applyFont="1" applyFill="1" applyBorder="1" applyAlignment="1">
      <alignment readingOrder="1"/>
    </xf>
    <xf numFmtId="1" fontId="7" fillId="6" borderId="3" xfId="0" applyNumberFormat="1" applyFont="1" applyFill="1" applyBorder="1" applyAlignment="1">
      <alignment horizontal="right" vertical="center" wrapText="1" readingOrder="1"/>
    </xf>
    <xf numFmtId="3" fontId="7" fillId="6" borderId="3" xfId="0" applyNumberFormat="1" applyFont="1" applyFill="1" applyBorder="1" applyAlignment="1">
      <alignment vertical="center" wrapText="1" readingOrder="1"/>
    </xf>
    <xf numFmtId="166" fontId="7" fillId="6" borderId="3" xfId="0" applyNumberFormat="1" applyFont="1" applyFill="1" applyBorder="1" applyAlignment="1">
      <alignment readingOrder="1"/>
    </xf>
    <xf numFmtId="1" fontId="7" fillId="6" borderId="3" xfId="0" applyNumberFormat="1" applyFont="1" applyFill="1" applyBorder="1" applyAlignment="1">
      <alignment horizontal="left" vertical="center" wrapText="1" readingOrder="1"/>
    </xf>
    <xf numFmtId="0" fontId="8" fillId="0" borderId="3" xfId="0" applyFont="1" applyFill="1" applyBorder="1" applyAlignment="1">
      <alignment horizontal="right" vertical="center" wrapText="1" readingOrder="1"/>
    </xf>
    <xf numFmtId="3" fontId="7" fillId="0" borderId="3" xfId="0" applyNumberFormat="1" applyFont="1" applyFill="1" applyBorder="1" applyAlignment="1">
      <alignment vertical="center" wrapText="1" readingOrder="1"/>
    </xf>
    <xf numFmtId="1" fontId="8" fillId="0" borderId="3" xfId="0" applyNumberFormat="1" applyFont="1" applyFill="1" applyBorder="1" applyAlignment="1">
      <alignment horizontal="left" vertical="center" wrapText="1" readingOrder="1"/>
    </xf>
    <xf numFmtId="0" fontId="8" fillId="2" borderId="3" xfId="0" applyFont="1" applyFill="1" applyBorder="1"/>
    <xf numFmtId="0" fontId="7" fillId="0" borderId="0" xfId="0" applyFont="1" applyAlignment="1">
      <alignment horizontal="left" vertical="center"/>
    </xf>
    <xf numFmtId="0" fontId="7" fillId="6" borderId="0" xfId="0" applyFont="1" applyFill="1" applyBorder="1" applyAlignment="1">
      <alignment horizontal="right" vertical="center" wrapText="1" readingOrder="1"/>
    </xf>
    <xf numFmtId="1" fontId="7" fillId="5" borderId="0" xfId="0" applyNumberFormat="1" applyFont="1" applyFill="1" applyBorder="1" applyAlignment="1">
      <alignment horizontal="right" vertical="center" wrapText="1" readingOrder="1"/>
    </xf>
    <xf numFmtId="3" fontId="7" fillId="5" borderId="0" xfId="0" applyNumberFormat="1" applyFont="1" applyFill="1" applyBorder="1" applyAlignment="1">
      <alignment vertical="center" wrapText="1" readingOrder="1"/>
    </xf>
    <xf numFmtId="1" fontId="7" fillId="5" borderId="0" xfId="0" applyNumberFormat="1" applyFont="1" applyFill="1" applyBorder="1" applyAlignment="1">
      <alignment horizontal="left" vertical="center" wrapText="1" readingOrder="1"/>
    </xf>
    <xf numFmtId="0" fontId="0" fillId="6" borderId="0" xfId="0" applyFill="1" applyAlignment="1">
      <alignment readingOrder="1"/>
    </xf>
    <xf numFmtId="1" fontId="0" fillId="6" borderId="0" xfId="0" applyNumberFormat="1" applyFill="1" applyAlignment="1">
      <alignment readingOrder="1"/>
    </xf>
    <xf numFmtId="0" fontId="8" fillId="5" borderId="0" xfId="0" applyFont="1" applyFill="1" applyAlignment="1">
      <alignment readingOrder="1"/>
    </xf>
    <xf numFmtId="3" fontId="7" fillId="5" borderId="0" xfId="0" applyNumberFormat="1" applyFont="1" applyFill="1" applyBorder="1" applyAlignment="1">
      <alignment horizontal="left" vertical="center" wrapText="1" readingOrder="1"/>
    </xf>
    <xf numFmtId="0" fontId="4" fillId="5" borderId="0" xfId="0" applyFont="1" applyFill="1" applyAlignment="1">
      <alignment readingOrder="1"/>
    </xf>
    <xf numFmtId="1" fontId="8" fillId="5" borderId="0" xfId="0" applyNumberFormat="1" applyFont="1" applyFill="1" applyAlignment="1">
      <alignment readingOrder="1"/>
    </xf>
    <xf numFmtId="3" fontId="8" fillId="5" borderId="0" xfId="0" applyNumberFormat="1" applyFont="1" applyFill="1" applyBorder="1" applyAlignment="1">
      <alignment horizontal="left" vertical="center" wrapText="1" readingOrder="1"/>
    </xf>
    <xf numFmtId="0" fontId="4" fillId="6" borderId="0" xfId="0" applyFont="1" applyFill="1" applyAlignment="1">
      <alignment readingOrder="1"/>
    </xf>
    <xf numFmtId="1" fontId="8" fillId="6" borderId="0" xfId="0" applyNumberFormat="1" applyFont="1" applyFill="1" applyBorder="1" applyAlignment="1">
      <alignment horizontal="right" readingOrder="1"/>
    </xf>
    <xf numFmtId="1" fontId="8" fillId="5" borderId="0" xfId="0" applyNumberFormat="1" applyFont="1" applyFill="1" applyBorder="1" applyAlignment="1">
      <alignment vertical="center" wrapText="1" readingOrder="1"/>
    </xf>
    <xf numFmtId="3" fontId="8" fillId="5" borderId="0" xfId="0" applyNumberFormat="1" applyFont="1" applyFill="1" applyBorder="1" applyAlignment="1">
      <alignment vertical="center" wrapText="1" readingOrder="1"/>
    </xf>
    <xf numFmtId="1" fontId="8" fillId="5" borderId="0" xfId="0" applyNumberFormat="1" applyFont="1" applyFill="1" applyBorder="1" applyAlignment="1">
      <alignment horizontal="left" vertical="center" wrapText="1" readingOrder="1"/>
    </xf>
    <xf numFmtId="1" fontId="15" fillId="6" borderId="0" xfId="0" applyNumberFormat="1" applyFont="1" applyFill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1" fontId="0" fillId="5" borderId="0" xfId="0" applyNumberFormat="1" applyFill="1"/>
    <xf numFmtId="1" fontId="7" fillId="4" borderId="0" xfId="1" applyNumberFormat="1" applyFont="1" applyFill="1" applyBorder="1" applyAlignment="1">
      <alignment horizontal="left" vertical="top" wrapText="1"/>
    </xf>
    <xf numFmtId="3" fontId="0" fillId="0" borderId="0" xfId="0" applyNumberFormat="1" applyFill="1"/>
    <xf numFmtId="0" fontId="7" fillId="6" borderId="18" xfId="0" applyFont="1" applyFill="1" applyBorder="1" applyAlignment="1">
      <alignment horizontal="right" vertical="center" wrapText="1"/>
    </xf>
    <xf numFmtId="3" fontId="7" fillId="6" borderId="2" xfId="0" applyNumberFormat="1" applyFont="1" applyFill="1" applyBorder="1" applyAlignment="1">
      <alignment horizontal="left" vertical="center" wrapText="1"/>
    </xf>
    <xf numFmtId="3" fontId="7" fillId="6" borderId="21" xfId="0" applyNumberFormat="1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/>
    </xf>
    <xf numFmtId="167" fontId="7" fillId="7" borderId="0" xfId="1" applyNumberFormat="1" applyFont="1" applyFill="1" applyBorder="1" applyAlignment="1">
      <alignment horizontal="left" vertical="center" wrapText="1" readingOrder="1"/>
    </xf>
    <xf numFmtId="167" fontId="7" fillId="4" borderId="0" xfId="1" applyNumberFormat="1" applyFont="1" applyFill="1" applyBorder="1" applyAlignment="1">
      <alignment vertical="center" wrapText="1" readingOrder="1"/>
    </xf>
    <xf numFmtId="167" fontId="7" fillId="7" borderId="0" xfId="1" applyNumberFormat="1" applyFont="1" applyFill="1" applyBorder="1" applyAlignment="1">
      <alignment vertical="center" wrapText="1" readingOrder="1"/>
    </xf>
    <xf numFmtId="167" fontId="7" fillId="6" borderId="0" xfId="1" applyNumberFormat="1" applyFont="1" applyFill="1" applyBorder="1" applyAlignment="1">
      <alignment vertical="center" wrapText="1" readingOrder="1"/>
    </xf>
    <xf numFmtId="167" fontId="7" fillId="0" borderId="0" xfId="1" applyNumberFormat="1" applyFont="1" applyFill="1" applyBorder="1" applyAlignment="1">
      <alignment vertical="center" wrapText="1" readingOrder="1"/>
    </xf>
    <xf numFmtId="167" fontId="7" fillId="7" borderId="3" xfId="1" applyNumberFormat="1" applyFont="1" applyFill="1" applyBorder="1" applyAlignment="1">
      <alignment vertical="center" wrapText="1" readingOrder="1"/>
    </xf>
    <xf numFmtId="3" fontId="7" fillId="5" borderId="0" xfId="0" applyNumberFormat="1" applyFont="1" applyFill="1" applyAlignment="1">
      <alignment horizontal="right" readingOrder="1"/>
    </xf>
    <xf numFmtId="0" fontId="7" fillId="6" borderId="0" xfId="0" applyFont="1" applyFill="1" applyBorder="1" applyAlignment="1">
      <alignment horizontal="right" vertical="center" wrapText="1" readingOrder="1"/>
    </xf>
    <xf numFmtId="0" fontId="7" fillId="2" borderId="2" xfId="0" applyFont="1" applyFill="1" applyBorder="1" applyAlignment="1">
      <alignment horizontal="right" vertical="center" wrapText="1" readingOrder="1"/>
    </xf>
    <xf numFmtId="0" fontId="7" fillId="5" borderId="0" xfId="0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readingOrder="1"/>
    </xf>
    <xf numFmtId="1" fontId="7" fillId="3" borderId="3" xfId="0" applyNumberFormat="1" applyFont="1" applyFill="1" applyBorder="1" applyAlignment="1">
      <alignment horizontal="right" vertical="center" wrapText="1" readingOrder="1"/>
    </xf>
    <xf numFmtId="0" fontId="7" fillId="2" borderId="3" xfId="0" applyFont="1" applyFill="1" applyBorder="1" applyAlignment="1">
      <alignment horizontal="right" vertical="center" readingOrder="1"/>
    </xf>
    <xf numFmtId="0" fontId="13" fillId="6" borderId="0" xfId="0" applyFont="1" applyFill="1" applyBorder="1" applyAlignment="1">
      <alignment horizontal="right" readingOrder="1"/>
    </xf>
    <xf numFmtId="167" fontId="7" fillId="6" borderId="0" xfId="1" applyNumberFormat="1" applyFont="1" applyFill="1" applyBorder="1" applyAlignment="1">
      <alignment horizontal="right" vertical="center" wrapText="1" readingOrder="1"/>
    </xf>
    <xf numFmtId="3" fontId="7" fillId="6" borderId="0" xfId="0" applyNumberFormat="1" applyFont="1" applyFill="1" applyBorder="1" applyAlignment="1">
      <alignment horizontal="right" vertical="center" wrapText="1" readingOrder="1"/>
    </xf>
    <xf numFmtId="167" fontId="7" fillId="0" borderId="0" xfId="1" applyNumberFormat="1" applyFont="1" applyFill="1" applyBorder="1" applyAlignment="1">
      <alignment horizontal="right" vertical="center" wrapText="1" readingOrder="1"/>
    </xf>
    <xf numFmtId="3" fontId="7" fillId="0" borderId="0" xfId="0" applyNumberFormat="1" applyFont="1" applyFill="1" applyBorder="1" applyAlignment="1">
      <alignment horizontal="right" vertical="center" wrapText="1" readingOrder="1"/>
    </xf>
    <xf numFmtId="0" fontId="8" fillId="5" borderId="0" xfId="0" applyFont="1" applyFill="1" applyAlignment="1">
      <alignment horizontal="right" readingOrder="1"/>
    </xf>
    <xf numFmtId="167" fontId="7" fillId="5" borderId="0" xfId="1" applyNumberFormat="1" applyFont="1" applyFill="1" applyBorder="1" applyAlignment="1">
      <alignment horizontal="right" vertical="center" wrapText="1" readingOrder="1"/>
    </xf>
    <xf numFmtId="3" fontId="7" fillId="5" borderId="0" xfId="0" applyNumberFormat="1" applyFont="1" applyFill="1" applyBorder="1" applyAlignment="1">
      <alignment horizontal="right" vertical="center" wrapText="1" readingOrder="1"/>
    </xf>
    <xf numFmtId="1" fontId="8" fillId="4" borderId="6" xfId="0" applyNumberFormat="1" applyFont="1" applyFill="1" applyBorder="1" applyAlignment="1">
      <alignment horizontal="right" vertical="center" wrapText="1" readingOrder="1"/>
    </xf>
    <xf numFmtId="167" fontId="8" fillId="4" borderId="6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horizontal="right" readingOrder="1"/>
    </xf>
    <xf numFmtId="1" fontId="7" fillId="3" borderId="3" xfId="9" applyNumberFormat="1" applyFont="1" applyFill="1" applyBorder="1" applyAlignment="1">
      <alignment vertical="center" wrapText="1"/>
    </xf>
    <xf numFmtId="0" fontId="7" fillId="6" borderId="0" xfId="0" applyFont="1" applyFill="1" applyAlignment="1">
      <alignment horizontal="center" readingOrder="1"/>
    </xf>
    <xf numFmtId="0" fontId="7" fillId="0" borderId="0" xfId="0" applyFont="1" applyAlignment="1">
      <alignment horizontal="center" readingOrder="1"/>
    </xf>
    <xf numFmtId="0" fontId="7" fillId="6" borderId="0" xfId="0" applyFont="1" applyFill="1" applyBorder="1" applyAlignment="1">
      <alignment horizontal="right" vertical="center" wrapText="1" readingOrder="1"/>
    </xf>
    <xf numFmtId="0" fontId="7" fillId="6" borderId="0" xfId="0" applyFont="1" applyFill="1" applyBorder="1" applyAlignment="1">
      <alignment horizontal="center" vertical="center" wrapText="1" readingOrder="1"/>
    </xf>
    <xf numFmtId="0" fontId="7" fillId="7" borderId="0" xfId="0" applyFont="1" applyFill="1" applyBorder="1" applyAlignment="1">
      <alignment horizontal="left" vertical="center" wrapText="1" readingOrder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readingOrder="1"/>
    </xf>
    <xf numFmtId="0" fontId="7" fillId="7" borderId="0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left" vertical="center" wrapText="1" readingOrder="1"/>
    </xf>
    <xf numFmtId="0" fontId="7" fillId="2" borderId="0" xfId="0" applyFont="1" applyFill="1" applyBorder="1" applyAlignment="1">
      <alignment horizontal="right" readingOrder="1"/>
    </xf>
    <xf numFmtId="0" fontId="7" fillId="3" borderId="0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 wrapText="1" readingOrder="1"/>
    </xf>
    <xf numFmtId="164" fontId="11" fillId="3" borderId="0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right" readingOrder="1"/>
    </xf>
    <xf numFmtId="0" fontId="9" fillId="0" borderId="4" xfId="0" applyFont="1" applyBorder="1" applyAlignment="1">
      <alignment horizontal="right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7" fillId="2" borderId="3" xfId="0" applyFont="1" applyFill="1" applyBorder="1" applyAlignment="1">
      <alignment horizontal="center" readingOrder="1"/>
    </xf>
    <xf numFmtId="0" fontId="7" fillId="3" borderId="0" xfId="0" applyFont="1" applyFill="1" applyBorder="1" applyAlignment="1">
      <alignment horizontal="center" vertical="center" readingOrder="1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right" readingOrder="1"/>
    </xf>
    <xf numFmtId="0" fontId="7" fillId="2" borderId="2" xfId="0" applyFont="1" applyFill="1" applyBorder="1" applyAlignment="1">
      <alignment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  <xf numFmtId="1" fontId="7" fillId="3" borderId="0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left" readingOrder="1"/>
    </xf>
    <xf numFmtId="0" fontId="9" fillId="0" borderId="0" xfId="0" applyFont="1" applyAlignment="1">
      <alignment horizontal="right" readingOrder="1"/>
    </xf>
    <xf numFmtId="1" fontId="7" fillId="3" borderId="3" xfId="0" applyNumberFormat="1" applyFont="1" applyFill="1" applyBorder="1" applyAlignment="1">
      <alignment horizontal="left" vertical="center" wrapText="1" readingOrder="1"/>
    </xf>
    <xf numFmtId="0" fontId="9" fillId="0" borderId="0" xfId="0" applyFont="1" applyAlignment="1">
      <alignment horizontal="right" vertical="center" readingOrder="1"/>
    </xf>
    <xf numFmtId="0" fontId="8" fillId="2" borderId="3" xfId="0" applyFont="1" applyFill="1" applyBorder="1" applyAlignment="1">
      <alignment horizontal="left" readingOrder="1"/>
    </xf>
    <xf numFmtId="0" fontId="7" fillId="7" borderId="0" xfId="0" applyFont="1" applyFill="1" applyBorder="1" applyAlignment="1">
      <alignment horizontal="right" vertical="center" wrapText="1" readingOrder="1"/>
    </xf>
    <xf numFmtId="0" fontId="7" fillId="3" borderId="0" xfId="0" applyFont="1" applyFill="1" applyBorder="1" applyAlignment="1">
      <alignment horizontal="right" vertical="center" wrapText="1" readingOrder="1"/>
    </xf>
    <xf numFmtId="1" fontId="7" fillId="3" borderId="3" xfId="0" applyNumberFormat="1" applyFont="1" applyFill="1" applyBorder="1" applyAlignment="1">
      <alignment horizontal="right" vertical="center" wrapText="1" readingOrder="1"/>
    </xf>
    <xf numFmtId="0" fontId="8" fillId="3" borderId="0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left" vertical="center" wrapText="1" readingOrder="1"/>
    </xf>
    <xf numFmtId="0" fontId="8" fillId="7" borderId="0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readingOrder="1"/>
    </xf>
    <xf numFmtId="0" fontId="7" fillId="2" borderId="2" xfId="0" applyFont="1" applyFill="1" applyBorder="1" applyAlignment="1">
      <alignment horizontal="right" vertical="center" wrapText="1" readingOrder="1"/>
    </xf>
    <xf numFmtId="0" fontId="7" fillId="2" borderId="3" xfId="0" applyFont="1" applyFill="1" applyBorder="1" applyAlignment="1">
      <alignment horizontal="left" vertical="center" wrapText="1" readingOrder="1"/>
    </xf>
    <xf numFmtId="1" fontId="7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right" vertical="center" wrapText="1" readingOrder="1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7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7" fillId="5" borderId="0" xfId="0" applyFont="1" applyFill="1" applyBorder="1" applyAlignment="1">
      <alignment horizontal="right" vertical="center" wrapText="1" readingOrder="1"/>
    </xf>
    <xf numFmtId="1" fontId="7" fillId="7" borderId="1" xfId="0" applyNumberFormat="1" applyFont="1" applyFill="1" applyBorder="1" applyAlignment="1">
      <alignment horizontal="center" vertical="center" wrapText="1" readingOrder="1"/>
    </xf>
    <xf numFmtId="1" fontId="7" fillId="7" borderId="0" xfId="0" applyNumberFormat="1" applyFont="1" applyFill="1" applyBorder="1" applyAlignment="1">
      <alignment horizontal="center" vertical="center" readingOrder="1"/>
    </xf>
    <xf numFmtId="1" fontId="7" fillId="7" borderId="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7" borderId="0" xfId="9" applyFont="1" applyFill="1" applyBorder="1" applyAlignment="1">
      <alignment horizontal="center" vertical="center" wrapText="1" readingOrder="1"/>
    </xf>
    <xf numFmtId="0" fontId="7" fillId="2" borderId="0" xfId="9" applyFont="1" applyFill="1" applyBorder="1" applyAlignment="1">
      <alignment horizontal="center" vertical="center" wrapText="1"/>
    </xf>
    <xf numFmtId="0" fontId="7" fillId="6" borderId="1" xfId="9" applyFont="1" applyFill="1" applyBorder="1" applyAlignment="1">
      <alignment horizontal="center" vertical="center" wrapText="1"/>
    </xf>
    <xf numFmtId="0" fontId="7" fillId="7" borderId="0" xfId="10" applyFont="1" applyFill="1" applyBorder="1" applyAlignment="1">
      <alignment horizontal="center" vertical="center" wrapText="1" readingOrder="1"/>
    </xf>
    <xf numFmtId="0" fontId="7" fillId="2" borderId="0" xfId="1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1" fontId="7" fillId="3" borderId="3" xfId="0" applyNumberFormat="1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0" fontId="7" fillId="7" borderId="0" xfId="4" applyFont="1" applyFill="1" applyBorder="1" applyAlignment="1">
      <alignment horizontal="center" vertical="center" wrapText="1" readingOrder="1"/>
    </xf>
    <xf numFmtId="0" fontId="7" fillId="3" borderId="0" xfId="4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 readingOrder="1"/>
    </xf>
    <xf numFmtId="0" fontId="7" fillId="7" borderId="1" xfId="4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readingOrder="1"/>
    </xf>
    <xf numFmtId="0" fontId="7" fillId="4" borderId="0" xfId="0" applyFont="1" applyFill="1" applyBorder="1" applyAlignment="1">
      <alignment horizontal="left" vertical="center" wrapText="1" readingOrder="1"/>
    </xf>
    <xf numFmtId="1" fontId="7" fillId="3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7" borderId="0" xfId="11" applyFont="1" applyFill="1" applyBorder="1" applyAlignment="1">
      <alignment horizontal="center" vertical="center" wrapText="1" readingOrder="1"/>
    </xf>
    <xf numFmtId="1" fontId="7" fillId="3" borderId="0" xfId="11" applyNumberFormat="1" applyFont="1" applyFill="1" applyBorder="1" applyAlignment="1">
      <alignment horizontal="left" vertical="center" wrapText="1"/>
    </xf>
    <xf numFmtId="0" fontId="7" fillId="3" borderId="0" xfId="5" applyFont="1" applyFill="1" applyBorder="1" applyAlignment="1">
      <alignment horizontal="center" vertical="center" wrapText="1"/>
    </xf>
    <xf numFmtId="0" fontId="7" fillId="3" borderId="0" xfId="11" applyFont="1" applyFill="1" applyBorder="1" applyAlignment="1">
      <alignment horizontal="center" vertical="center" wrapText="1"/>
    </xf>
    <xf numFmtId="0" fontId="7" fillId="7" borderId="1" xfId="11" applyFont="1" applyFill="1" applyBorder="1" applyAlignment="1">
      <alignment horizontal="center" vertical="center" wrapText="1"/>
    </xf>
    <xf numFmtId="0" fontId="7" fillId="7" borderId="0" xfId="2" applyFont="1" applyFill="1" applyBorder="1" applyAlignment="1">
      <alignment horizontal="center" vertical="center" wrapText="1" readingOrder="1"/>
    </xf>
    <xf numFmtId="0" fontId="7" fillId="3" borderId="0" xfId="2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/>
    </xf>
    <xf numFmtId="0" fontId="7" fillId="7" borderId="0" xfId="2" applyFont="1" applyFill="1" applyBorder="1" applyAlignment="1">
      <alignment horizontal="center" vertical="center" wrapText="1"/>
    </xf>
    <xf numFmtId="0" fontId="7" fillId="7" borderId="0" xfId="6" applyFont="1" applyFill="1" applyBorder="1" applyAlignment="1">
      <alignment horizontal="center" vertical="center" wrapText="1" readingOrder="1"/>
    </xf>
    <xf numFmtId="0" fontId="7" fillId="3" borderId="0" xfId="6" applyFont="1" applyFill="1" applyBorder="1" applyAlignment="1">
      <alignment horizontal="center" vertical="center" wrapText="1"/>
    </xf>
    <xf numFmtId="1" fontId="7" fillId="2" borderId="3" xfId="6" applyNumberFormat="1" applyFont="1" applyFill="1" applyBorder="1" applyAlignment="1">
      <alignment horizontal="right" vertical="center" wrapText="1"/>
    </xf>
    <xf numFmtId="1" fontId="7" fillId="3" borderId="3" xfId="5" applyNumberFormat="1" applyFont="1" applyFill="1" applyBorder="1" applyAlignment="1">
      <alignment horizontal="left" vertical="center" wrapText="1"/>
    </xf>
    <xf numFmtId="0" fontId="7" fillId="7" borderId="1" xfId="6" applyFont="1" applyFill="1" applyBorder="1" applyAlignment="1">
      <alignment horizontal="center" vertical="center" wrapText="1"/>
    </xf>
    <xf numFmtId="0" fontId="7" fillId="7" borderId="0" xfId="3" applyFont="1" applyFill="1" applyBorder="1" applyAlignment="1">
      <alignment horizontal="center" vertical="center" wrapText="1" readingOrder="1"/>
    </xf>
    <xf numFmtId="0" fontId="7" fillId="3" borderId="0" xfId="3" applyFont="1" applyFill="1" applyBorder="1" applyAlignment="1">
      <alignment horizontal="center" vertical="center" wrapText="1"/>
    </xf>
    <xf numFmtId="1" fontId="7" fillId="2" borderId="3" xfId="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1" fontId="7" fillId="3" borderId="0" xfId="7" applyNumberFormat="1" applyFont="1" applyFill="1" applyBorder="1" applyAlignment="1">
      <alignment horizontal="right" vertical="center" wrapText="1"/>
    </xf>
    <xf numFmtId="0" fontId="7" fillId="7" borderId="0" xfId="7" applyFont="1" applyFill="1" applyBorder="1" applyAlignment="1">
      <alignment horizontal="center" vertical="center" wrapText="1" readingOrder="1"/>
    </xf>
    <xf numFmtId="0" fontId="7" fillId="3" borderId="0" xfId="7" applyFont="1" applyFill="1" applyBorder="1" applyAlignment="1">
      <alignment horizontal="center" vertical="center" wrapText="1"/>
    </xf>
    <xf numFmtId="0" fontId="7" fillId="3" borderId="3" xfId="7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right" readingOrder="1"/>
    </xf>
    <xf numFmtId="0" fontId="7" fillId="7" borderId="0" xfId="5" applyFont="1" applyFill="1" applyBorder="1" applyAlignment="1">
      <alignment horizontal="center" vertical="center" wrapText="1" readingOrder="1"/>
    </xf>
    <xf numFmtId="1" fontId="7" fillId="3" borderId="3" xfId="5" applyNumberFormat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/>
    </xf>
    <xf numFmtId="0" fontId="7" fillId="7" borderId="1" xfId="5" applyFont="1" applyFill="1" applyBorder="1" applyAlignment="1">
      <alignment horizontal="center" vertical="center" wrapText="1"/>
    </xf>
    <xf numFmtId="0" fontId="7" fillId="7" borderId="0" xfId="8" applyFont="1" applyFill="1" applyBorder="1" applyAlignment="1">
      <alignment horizontal="center" vertical="center" wrapText="1" readingOrder="1"/>
    </xf>
    <xf numFmtId="0" fontId="7" fillId="2" borderId="0" xfId="8" applyFont="1" applyFill="1" applyBorder="1" applyAlignment="1">
      <alignment horizontal="center" vertical="center" wrapText="1"/>
    </xf>
    <xf numFmtId="1" fontId="7" fillId="2" borderId="3" xfId="8" applyNumberFormat="1" applyFont="1" applyFill="1" applyBorder="1" applyAlignment="1">
      <alignment horizontal="right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horizontal="left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</cellXfs>
  <cellStyles count="17">
    <cellStyle name="Comma" xfId="1" builtinId="3"/>
    <cellStyle name="Normal" xfId="0" builtinId="0"/>
    <cellStyle name="Normal 4" xfId="12"/>
    <cellStyle name="Normal 5" xfId="13"/>
    <cellStyle name="Normal 6" xfId="14"/>
    <cellStyle name="Normal 7" xfId="15"/>
    <cellStyle name="Normal 8" xfId="16"/>
    <cellStyle name="Normal_Sheet1" xfId="2"/>
    <cellStyle name="Normal_Sheet3" xfId="3"/>
    <cellStyle name="Normal_Sheet6" xfId="4"/>
    <cellStyle name="Normal_Sheet8" xfId="5"/>
    <cellStyle name="Normal_ت.صحيه2" xfId="6"/>
    <cellStyle name="Normal_ت.صحيه4" xfId="7"/>
    <cellStyle name="Normal_ت.صحيه5" xfId="8"/>
    <cellStyle name="Normal_حصى" xfId="9"/>
    <cellStyle name="Normal_رمل" xfId="10"/>
    <cellStyle name="Normal_شبابيك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/>
            </a:pPr>
            <a:r>
              <a:rPr lang="ar-IQ" sz="1400"/>
              <a:t>شكل </a:t>
            </a:r>
            <a:r>
              <a:rPr lang="en-US" sz="1400"/>
              <a:t>(1) </a:t>
            </a:r>
            <a:r>
              <a:rPr lang="ar-IQ" sz="1400" baseline="0"/>
              <a:t> </a:t>
            </a:r>
            <a:endParaRPr lang="ar-IQ" sz="1400"/>
          </a:p>
          <a:p>
            <a:pPr rtl="1">
              <a:defRPr/>
            </a:pPr>
            <a:r>
              <a:rPr lang="en-US" sz="1400"/>
              <a:t>  </a:t>
            </a:r>
            <a:r>
              <a:rPr lang="ar-IQ" sz="1400"/>
              <a:t>الكلفة الكلية وقيمة المواد الانشائية واجور العاملين لابنية القطاع الخاص للسنوات</a:t>
            </a:r>
            <a:r>
              <a:rPr lang="en-US" sz="1400"/>
              <a:t>   </a:t>
            </a:r>
            <a:r>
              <a:rPr lang="ar-IQ" sz="1400"/>
              <a:t> (2025-2012)</a:t>
            </a:r>
          </a:p>
        </c:rich>
      </c:tx>
      <c:layout>
        <c:manualLayout>
          <c:xMode val="edge"/>
          <c:yMode val="edge"/>
          <c:x val="0.12502097031685472"/>
          <c:y val="1.39470013947001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24437370860558"/>
          <c:y val="0.14987469662526492"/>
          <c:w val="0.72022296182049406"/>
          <c:h val="0.73368475384091636"/>
        </c:manualLayout>
      </c:layout>
      <c:lineChart>
        <c:grouping val="standard"/>
        <c:varyColors val="0"/>
        <c:ser>
          <c:idx val="0"/>
          <c:order val="0"/>
          <c:tx>
            <c:strRef>
              <c:f>'الكلفه  للسنوات'!$B$30</c:f>
              <c:strCache>
                <c:ptCount val="1"/>
                <c:pt idx="0">
                  <c:v>الكلفة الكلية</c:v>
                </c:pt>
              </c:strCache>
            </c:strRef>
          </c:tx>
          <c:marker>
            <c:symbol val="none"/>
          </c:marker>
          <c:cat>
            <c:numRef>
              <c:f>'الكلفه  للسنوات'!$A$10:$A$23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 formatCode="0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'الكلفه  للسنوات'!$B$31:$B$44</c:f>
              <c:numCache>
                <c:formatCode>General</c:formatCode>
                <c:ptCount val="14"/>
                <c:pt idx="0">
                  <c:v>2150495</c:v>
                </c:pt>
                <c:pt idx="1">
                  <c:v>4421670</c:v>
                </c:pt>
                <c:pt idx="2">
                  <c:v>7158371</c:v>
                </c:pt>
                <c:pt idx="3">
                  <c:v>3320102</c:v>
                </c:pt>
                <c:pt idx="4">
                  <c:v>1932360</c:v>
                </c:pt>
                <c:pt idx="5">
                  <c:v>1962888</c:v>
                </c:pt>
                <c:pt idx="6">
                  <c:v>1479021</c:v>
                </c:pt>
                <c:pt idx="7">
                  <c:v>1398142</c:v>
                </c:pt>
                <c:pt idx="8">
                  <c:v>1162220</c:v>
                </c:pt>
                <c:pt idx="9">
                  <c:v>949191</c:v>
                </c:pt>
                <c:pt idx="10">
                  <c:v>1852178</c:v>
                </c:pt>
                <c:pt idx="11">
                  <c:v>2073832</c:v>
                </c:pt>
                <c:pt idx="12">
                  <c:v>1819880</c:v>
                </c:pt>
                <c:pt idx="13">
                  <c:v>1208819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2-4347-B2D9-4488E59E4564}"/>
            </c:ext>
          </c:extLst>
        </c:ser>
        <c:ser>
          <c:idx val="1"/>
          <c:order val="1"/>
          <c:tx>
            <c:strRef>
              <c:f>'الكلفه  للسنوات'!$C$30</c:f>
              <c:strCache>
                <c:ptCount val="1"/>
                <c:pt idx="0">
                  <c:v>قيمة المواد الانشائية</c:v>
                </c:pt>
              </c:strCache>
            </c:strRef>
          </c:tx>
          <c:marker>
            <c:symbol val="none"/>
          </c:marker>
          <c:cat>
            <c:numRef>
              <c:f>'الكلفه  للسنوات'!$A$10:$A$23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 formatCode="0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'الكلفه  للسنوات'!$C$31:$C$44</c:f>
              <c:numCache>
                <c:formatCode>General</c:formatCode>
                <c:ptCount val="14"/>
                <c:pt idx="0">
                  <c:v>1583820</c:v>
                </c:pt>
                <c:pt idx="1">
                  <c:v>3622022</c:v>
                </c:pt>
                <c:pt idx="2">
                  <c:v>6603278</c:v>
                </c:pt>
                <c:pt idx="3">
                  <c:v>2873631</c:v>
                </c:pt>
                <c:pt idx="4">
                  <c:v>1231567</c:v>
                </c:pt>
                <c:pt idx="5">
                  <c:v>1297872</c:v>
                </c:pt>
                <c:pt idx="6">
                  <c:v>819485</c:v>
                </c:pt>
                <c:pt idx="7">
                  <c:v>901626</c:v>
                </c:pt>
                <c:pt idx="8">
                  <c:v>556023</c:v>
                </c:pt>
                <c:pt idx="9">
                  <c:v>403887</c:v>
                </c:pt>
                <c:pt idx="10">
                  <c:v>914312</c:v>
                </c:pt>
                <c:pt idx="11">
                  <c:v>1045260</c:v>
                </c:pt>
                <c:pt idx="12">
                  <c:v>868272</c:v>
                </c:pt>
                <c:pt idx="13">
                  <c:v>597189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2-4347-B2D9-4488E59E4564}"/>
            </c:ext>
          </c:extLst>
        </c:ser>
        <c:ser>
          <c:idx val="2"/>
          <c:order val="2"/>
          <c:tx>
            <c:strRef>
              <c:f>'الكلفه  للسنوات'!$D$30</c:f>
              <c:strCache>
                <c:ptCount val="1"/>
                <c:pt idx="0">
                  <c:v>اجور العاملين</c:v>
                </c:pt>
              </c:strCache>
            </c:strRef>
          </c:tx>
          <c:marker>
            <c:symbol val="none"/>
          </c:marker>
          <c:cat>
            <c:numRef>
              <c:f>'الكلفه  للسنوات'!$A$10:$A$23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 formatCode="0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'الكلفه  للسنوات'!$D$31:$D$44</c:f>
              <c:numCache>
                <c:formatCode>General</c:formatCode>
                <c:ptCount val="14"/>
                <c:pt idx="0">
                  <c:v>566675</c:v>
                </c:pt>
                <c:pt idx="1">
                  <c:v>661140</c:v>
                </c:pt>
                <c:pt idx="2">
                  <c:v>555092</c:v>
                </c:pt>
                <c:pt idx="3">
                  <c:v>446471</c:v>
                </c:pt>
                <c:pt idx="4">
                  <c:v>700793</c:v>
                </c:pt>
                <c:pt idx="5">
                  <c:v>659555</c:v>
                </c:pt>
                <c:pt idx="6">
                  <c:v>659555</c:v>
                </c:pt>
                <c:pt idx="7">
                  <c:v>496515</c:v>
                </c:pt>
                <c:pt idx="8">
                  <c:v>606196</c:v>
                </c:pt>
                <c:pt idx="9">
                  <c:v>545304</c:v>
                </c:pt>
                <c:pt idx="10">
                  <c:v>937866</c:v>
                </c:pt>
                <c:pt idx="11">
                  <c:v>1028572</c:v>
                </c:pt>
                <c:pt idx="12">
                  <c:v>951608</c:v>
                </c:pt>
                <c:pt idx="13">
                  <c:v>611630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2-4347-B2D9-4488E59E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055552"/>
        <c:axId val="254057088"/>
      </c:lineChart>
      <c:catAx>
        <c:axId val="2540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54057088"/>
        <c:crosses val="autoZero"/>
        <c:auto val="1"/>
        <c:lblAlgn val="ctr"/>
        <c:lblOffset val="100"/>
        <c:noMultiLvlLbl val="0"/>
      </c:catAx>
      <c:valAx>
        <c:axId val="254057088"/>
        <c:scaling>
          <c:orientation val="minMax"/>
        </c:scaling>
        <c:delete val="0"/>
        <c:axPos val="l"/>
        <c:majorGridlines/>
        <c:numFmt formatCode="#,##0;[Red]#,##0" sourceLinked="0"/>
        <c:majorTickMark val="none"/>
        <c:minorTickMark val="none"/>
        <c:tickLblPos val="nextTo"/>
        <c:crossAx val="254055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IQ" sz="1400" b="0"/>
              <a:t>شكل </a:t>
            </a:r>
            <a:r>
              <a:rPr lang="en-US" sz="1400" b="0"/>
              <a:t>(2)</a:t>
            </a:r>
            <a:r>
              <a:rPr lang="ar-IQ" sz="1400" b="0"/>
              <a:t>
المؤشرات الرئيسة لتقديرات ابنية القطاع الخاص حسب نوع البناء لسنة </a:t>
            </a:r>
            <a:r>
              <a:rPr lang="en-US" sz="1400" b="0"/>
              <a:t>2025</a:t>
            </a:r>
            <a:endParaRPr lang="ar-IQ" sz="1400" b="0"/>
          </a:p>
        </c:rich>
      </c:tx>
      <c:layout>
        <c:manualLayout>
          <c:xMode val="edge"/>
          <c:yMode val="edge"/>
          <c:x val="0.19330881037639824"/>
          <c:y val="2.847571189279731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362446588374405E-2"/>
          <c:y val="0.19821068662713456"/>
          <c:w val="0.90526899154670515"/>
          <c:h val="0.60655212079971488"/>
        </c:manualLayout>
      </c:layout>
      <c:bar3DChart>
        <c:barDir val="col"/>
        <c:grouping val="clustered"/>
        <c:varyColors val="0"/>
        <c:ser>
          <c:idx val="0"/>
          <c:order val="0"/>
          <c:tx>
            <c:v>جديد</c:v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(مؤشرات!$A$9:$A$14,مؤشرات!$B$9:$B$14,مؤشرات!$E$9:$E$14)</c:f>
              <c:strCache>
                <c:ptCount val="18"/>
                <c:pt idx="0">
                  <c:v>دور سكن  </c:v>
                </c:pt>
                <c:pt idx="1">
                  <c:v>العمارات السكنية </c:v>
                </c:pt>
                <c:pt idx="2">
                  <c:v>العمارات التجارية </c:v>
                </c:pt>
                <c:pt idx="3">
                  <c:v>أبنية  صناعية  </c:v>
                </c:pt>
                <c:pt idx="4">
                  <c:v>أبنية  تجارية </c:v>
                </c:pt>
                <c:pt idx="5">
                  <c:v>أبنية اجتماعية</c:v>
                </c:pt>
                <c:pt idx="6">
                  <c:v>10,175</c:v>
                </c:pt>
                <c:pt idx="7">
                  <c:v>15</c:v>
                </c:pt>
                <c:pt idx="8">
                  <c:v>453</c:v>
                </c:pt>
                <c:pt idx="9">
                  <c:v>23</c:v>
                </c:pt>
                <c:pt idx="10">
                  <c:v>38</c:v>
                </c:pt>
                <c:pt idx="11">
                  <c:v>68</c:v>
                </c:pt>
                <c:pt idx="12">
                  <c:v>2,339</c:v>
                </c:pt>
                <c:pt idx="13">
                  <c:v>0</c:v>
                </c:pt>
                <c:pt idx="14">
                  <c:v>43</c:v>
                </c:pt>
                <c:pt idx="15">
                  <c:v>1</c:v>
                </c:pt>
                <c:pt idx="16">
                  <c:v>5</c:v>
                </c:pt>
                <c:pt idx="17">
                  <c:v>5</c:v>
                </c:pt>
              </c:strCache>
            </c:strRef>
          </c:cat>
          <c:val>
            <c:numRef>
              <c:f>مؤشرات!$B$9:$B$14</c:f>
              <c:numCache>
                <c:formatCode>#,##0</c:formatCode>
                <c:ptCount val="6"/>
                <c:pt idx="0">
                  <c:v>10175</c:v>
                </c:pt>
                <c:pt idx="1">
                  <c:v>15</c:v>
                </c:pt>
                <c:pt idx="2">
                  <c:v>453</c:v>
                </c:pt>
                <c:pt idx="3">
                  <c:v>23</c:v>
                </c:pt>
                <c:pt idx="4">
                  <c:v>38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2-4AF7-8104-A008B4429D3D}"/>
            </c:ext>
          </c:extLst>
        </c:ser>
        <c:ser>
          <c:idx val="1"/>
          <c:order val="1"/>
          <c:tx>
            <c:v>اضافة</c:v>
          </c:tx>
          <c:spPr>
            <a:solidFill>
              <a:srgbClr val="92D050"/>
            </a:solidFill>
            <a:ln w="12700">
              <a:solidFill>
                <a:srgbClr val="0033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2D05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562-4AF7-8104-A008B4429D3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(مؤشرات!$A$9:$A$14,مؤشرات!$B$9:$B$14,مؤشرات!$E$9:$E$14)</c:f>
              <c:strCache>
                <c:ptCount val="18"/>
                <c:pt idx="0">
                  <c:v>دور سكن  </c:v>
                </c:pt>
                <c:pt idx="1">
                  <c:v>العمارات السكنية </c:v>
                </c:pt>
                <c:pt idx="2">
                  <c:v>العمارات التجارية </c:v>
                </c:pt>
                <c:pt idx="3">
                  <c:v>أبنية  صناعية  </c:v>
                </c:pt>
                <c:pt idx="4">
                  <c:v>أبنية  تجارية </c:v>
                </c:pt>
                <c:pt idx="5">
                  <c:v>أبنية اجتماعية</c:v>
                </c:pt>
                <c:pt idx="6">
                  <c:v>10,175</c:v>
                </c:pt>
                <c:pt idx="7">
                  <c:v>15</c:v>
                </c:pt>
                <c:pt idx="8">
                  <c:v>453</c:v>
                </c:pt>
                <c:pt idx="9">
                  <c:v>23</c:v>
                </c:pt>
                <c:pt idx="10">
                  <c:v>38</c:v>
                </c:pt>
                <c:pt idx="11">
                  <c:v>68</c:v>
                </c:pt>
                <c:pt idx="12">
                  <c:v>2,339</c:v>
                </c:pt>
                <c:pt idx="13">
                  <c:v>0</c:v>
                </c:pt>
                <c:pt idx="14">
                  <c:v>43</c:v>
                </c:pt>
                <c:pt idx="15">
                  <c:v>1</c:v>
                </c:pt>
                <c:pt idx="16">
                  <c:v>5</c:v>
                </c:pt>
                <c:pt idx="17">
                  <c:v>5</c:v>
                </c:pt>
              </c:strCache>
            </c:strRef>
          </c:cat>
          <c:val>
            <c:numRef>
              <c:f>مؤشرات!$E$9:$E$14</c:f>
              <c:numCache>
                <c:formatCode>#,##0</c:formatCode>
                <c:ptCount val="6"/>
                <c:pt idx="0">
                  <c:v>2339</c:v>
                </c:pt>
                <c:pt idx="1">
                  <c:v>0</c:v>
                </c:pt>
                <c:pt idx="2">
                  <c:v>43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62-4AF7-8104-A008B4429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pyramid"/>
        <c:axId val="255383808"/>
        <c:axId val="255385984"/>
        <c:axId val="0"/>
      </c:bar3DChart>
      <c:catAx>
        <c:axId val="255383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ar-IQ" b="0"/>
                  <a:t>نوع البناء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86138674645191537"/>
              <c:y val="0.79622873529697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538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5385984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lang="en-US"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ar-IQ" b="0"/>
                  <a:t>العدد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11537556099002982"/>
              <c:y val="0.14610754674184248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5383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667735616210599"/>
          <c:y val="0.29053901005737115"/>
          <c:w val="6.5621535905516684E-2"/>
          <c:h val="0.100509011988758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lang="en-US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Footer>&amp;C11</c:oddFooter>
    </c:headerFooter>
    <c:pageMargins b="1" l="0.75000000000001565" r="0.75000000000001565" t="1" header="0.5" footer="0.5"/>
    <c:pageSetup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1"/>
              <a:t> (3)</a:t>
            </a:r>
            <a:r>
              <a:rPr lang="ar-IQ" b="1"/>
              <a:t>شكل </a:t>
            </a:r>
            <a:endParaRPr lang="en-US" b="1"/>
          </a:p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IQ" b="1"/>
              <a:t>2025 </a:t>
            </a:r>
            <a:r>
              <a:rPr lang="en-US" b="1"/>
              <a:t> </a:t>
            </a:r>
            <a:r>
              <a:rPr lang="ar-IQ" b="1"/>
              <a:t>معدل عدد العاملين في المحافظات لسنة</a:t>
            </a:r>
          </a:p>
        </c:rich>
      </c:tx>
      <c:layout>
        <c:manualLayout>
          <c:xMode val="edge"/>
          <c:yMode val="edge"/>
          <c:x val="0.35066505441354279"/>
          <c:y val="2.8571428571428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44312143908834E-2"/>
          <c:y val="0.18256422766431302"/>
          <c:w val="0.86828410473081119"/>
          <c:h val="0.632642064320273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العاملين!$F$4</c:f>
              <c:strCache>
                <c:ptCount val="1"/>
                <c:pt idx="0">
                  <c:v>عمال ماهرين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العاملين!$A$8:$A$22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 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العاملين!$F$8:$F$22</c:f>
              <c:numCache>
                <c:formatCode>#,##0</c:formatCode>
                <c:ptCount val="15"/>
                <c:pt idx="0">
                  <c:v>92</c:v>
                </c:pt>
                <c:pt idx="1">
                  <c:v>135</c:v>
                </c:pt>
                <c:pt idx="2">
                  <c:v>258</c:v>
                </c:pt>
                <c:pt idx="3">
                  <c:v>156</c:v>
                </c:pt>
                <c:pt idx="4">
                  <c:v>1340</c:v>
                </c:pt>
                <c:pt idx="5">
                  <c:v>131</c:v>
                </c:pt>
                <c:pt idx="6">
                  <c:v>248</c:v>
                </c:pt>
                <c:pt idx="7">
                  <c:v>173</c:v>
                </c:pt>
                <c:pt idx="8">
                  <c:v>61</c:v>
                </c:pt>
                <c:pt idx="9">
                  <c:v>265</c:v>
                </c:pt>
                <c:pt idx="10">
                  <c:v>126</c:v>
                </c:pt>
                <c:pt idx="11">
                  <c:v>146</c:v>
                </c:pt>
                <c:pt idx="12">
                  <c:v>159</c:v>
                </c:pt>
                <c:pt idx="13">
                  <c:v>61</c:v>
                </c:pt>
                <c:pt idx="14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E-460E-B24B-110E147D6D5D}"/>
            </c:ext>
          </c:extLst>
        </c:ser>
        <c:ser>
          <c:idx val="0"/>
          <c:order val="1"/>
          <c:tx>
            <c:strRef>
              <c:f>العاملين!$D$4</c:f>
              <c:strCache>
                <c:ptCount val="1"/>
                <c:pt idx="0">
                  <c:v>عمال شبه ماهرين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العاملين!$D$8:$D$22</c:f>
              <c:numCache>
                <c:formatCode>#,##0</c:formatCode>
                <c:ptCount val="15"/>
                <c:pt idx="0">
                  <c:v>255</c:v>
                </c:pt>
                <c:pt idx="1">
                  <c:v>55</c:v>
                </c:pt>
                <c:pt idx="2">
                  <c:v>185</c:v>
                </c:pt>
                <c:pt idx="3">
                  <c:v>91</c:v>
                </c:pt>
                <c:pt idx="4">
                  <c:v>822</c:v>
                </c:pt>
                <c:pt idx="5">
                  <c:v>77</c:v>
                </c:pt>
                <c:pt idx="6">
                  <c:v>63</c:v>
                </c:pt>
                <c:pt idx="7">
                  <c:v>241</c:v>
                </c:pt>
                <c:pt idx="8">
                  <c:v>53</c:v>
                </c:pt>
                <c:pt idx="9">
                  <c:v>604</c:v>
                </c:pt>
                <c:pt idx="10">
                  <c:v>48</c:v>
                </c:pt>
                <c:pt idx="11">
                  <c:v>51</c:v>
                </c:pt>
                <c:pt idx="12">
                  <c:v>29</c:v>
                </c:pt>
                <c:pt idx="13">
                  <c:v>4</c:v>
                </c:pt>
                <c:pt idx="1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E-460E-B24B-110E147D6D5D}"/>
            </c:ext>
          </c:extLst>
        </c:ser>
        <c:ser>
          <c:idx val="2"/>
          <c:order val="2"/>
          <c:tx>
            <c:strRef>
              <c:f>العاملين!$B$4</c:f>
              <c:strCache>
                <c:ptCount val="1"/>
                <c:pt idx="0">
                  <c:v>عمال غير ماهرين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AE-460E-B24B-110E147D6D5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العاملين!$B$8:$B$22</c:f>
              <c:numCache>
                <c:formatCode>#,##0</c:formatCode>
                <c:ptCount val="15"/>
                <c:pt idx="0">
                  <c:v>585</c:v>
                </c:pt>
                <c:pt idx="1">
                  <c:v>943</c:v>
                </c:pt>
                <c:pt idx="2">
                  <c:v>2012</c:v>
                </c:pt>
                <c:pt idx="3">
                  <c:v>1087</c:v>
                </c:pt>
                <c:pt idx="4">
                  <c:v>10560</c:v>
                </c:pt>
                <c:pt idx="5">
                  <c:v>1106</c:v>
                </c:pt>
                <c:pt idx="6">
                  <c:v>1895</c:v>
                </c:pt>
                <c:pt idx="7">
                  <c:v>1260</c:v>
                </c:pt>
                <c:pt idx="8">
                  <c:v>476</c:v>
                </c:pt>
                <c:pt idx="9">
                  <c:v>1944</c:v>
                </c:pt>
                <c:pt idx="10">
                  <c:v>965</c:v>
                </c:pt>
                <c:pt idx="11">
                  <c:v>1222</c:v>
                </c:pt>
                <c:pt idx="12">
                  <c:v>1117</c:v>
                </c:pt>
                <c:pt idx="13">
                  <c:v>392</c:v>
                </c:pt>
                <c:pt idx="14">
                  <c:v>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AE-460E-B24B-110E147D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98464"/>
        <c:axId val="256400000"/>
      </c:barChart>
      <c:catAx>
        <c:axId val="2563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6400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640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63984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6296414722545"/>
          <c:y val="0.35449725259162729"/>
          <c:w val="0.10846625009535311"/>
          <c:h val="0.11461398508186527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lang="en-US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Footer>&amp;C24</c:oddFooter>
    </c:headerFooter>
    <c:pageMargins b="0.98425196850393659" l="0.94488188976377963" r="0.70866141732283616" t="0.98425196850393659" header="0.51181102362204722" footer="0.51181102362204722"/>
    <c:pageSetup paperSize="9" orientation="landscape" verticalDpi="12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 (4)</a:t>
            </a:r>
            <a:r>
              <a:rPr lang="ar-IQ" sz="1400" b="1"/>
              <a:t>شكل </a:t>
            </a:r>
          </a:p>
          <a:p>
            <a:pPr algn="ctr" rtl="0">
              <a:defRPr/>
            </a:pPr>
            <a:r>
              <a:rPr lang="ar-IQ" sz="1400" b="1"/>
              <a:t>كمية المواد الانشائية المستخدمة لمادة ( الطابوق والبلوك</a:t>
            </a:r>
            <a:r>
              <a:rPr lang="ar-IQ" sz="1400" b="1" baseline="0"/>
              <a:t> ) </a:t>
            </a:r>
            <a:r>
              <a:rPr lang="ar-IQ" sz="1400" b="1"/>
              <a:t>حسب المحافظات لسنة 2025 </a:t>
            </a:r>
            <a:endParaRPr lang="en-US" sz="14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689102310402819E-2"/>
          <c:y val="0.14727779181248532"/>
          <c:w val="0.90151327695801431"/>
          <c:h val="0.67392793481928503"/>
        </c:manualLayout>
      </c:layout>
      <c:barChart>
        <c:barDir val="col"/>
        <c:grouping val="clustered"/>
        <c:varyColors val="0"/>
        <c:ser>
          <c:idx val="0"/>
          <c:order val="0"/>
          <c:tx>
            <c:v>طابوق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طابوق!$A$9:$A$23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 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طابوق!$H$9:$H$23</c:f>
              <c:numCache>
                <c:formatCode>#,##0</c:formatCode>
                <c:ptCount val="15"/>
                <c:pt idx="0">
                  <c:v>1673</c:v>
                </c:pt>
                <c:pt idx="1">
                  <c:v>115</c:v>
                </c:pt>
                <c:pt idx="2">
                  <c:v>34519</c:v>
                </c:pt>
                <c:pt idx="3">
                  <c:v>23853</c:v>
                </c:pt>
                <c:pt idx="4">
                  <c:v>168141</c:v>
                </c:pt>
                <c:pt idx="5">
                  <c:v>48188</c:v>
                </c:pt>
                <c:pt idx="6">
                  <c:v>35530</c:v>
                </c:pt>
                <c:pt idx="7">
                  <c:v>37243</c:v>
                </c:pt>
                <c:pt idx="8">
                  <c:v>15549</c:v>
                </c:pt>
                <c:pt idx="9">
                  <c:v>436293</c:v>
                </c:pt>
                <c:pt idx="10">
                  <c:v>35736</c:v>
                </c:pt>
                <c:pt idx="11">
                  <c:v>20160</c:v>
                </c:pt>
                <c:pt idx="12">
                  <c:v>53389</c:v>
                </c:pt>
                <c:pt idx="13">
                  <c:v>9413</c:v>
                </c:pt>
                <c:pt idx="14">
                  <c:v>62233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7-41C1-97C1-0A2DA02E6D46}"/>
            </c:ext>
          </c:extLst>
        </c:ser>
        <c:ser>
          <c:idx val="1"/>
          <c:order val="1"/>
          <c:tx>
            <c:v>بلوك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طابوق!$A$9:$A$23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 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بلوك!$H$9:$H$23</c:f>
              <c:numCache>
                <c:formatCode>#,##0</c:formatCode>
                <c:ptCount val="15"/>
                <c:pt idx="0">
                  <c:v>2641</c:v>
                </c:pt>
                <c:pt idx="1">
                  <c:v>2483</c:v>
                </c:pt>
                <c:pt idx="2">
                  <c:v>3630</c:v>
                </c:pt>
                <c:pt idx="3">
                  <c:v>1506</c:v>
                </c:pt>
                <c:pt idx="4">
                  <c:v>4682</c:v>
                </c:pt>
                <c:pt idx="5">
                  <c:v>2277</c:v>
                </c:pt>
                <c:pt idx="6">
                  <c:v>1036</c:v>
                </c:pt>
                <c:pt idx="7">
                  <c:v>1205</c:v>
                </c:pt>
                <c:pt idx="8">
                  <c:v>1266</c:v>
                </c:pt>
                <c:pt idx="9">
                  <c:v>547</c:v>
                </c:pt>
                <c:pt idx="10">
                  <c:v>281</c:v>
                </c:pt>
                <c:pt idx="11">
                  <c:v>220</c:v>
                </c:pt>
                <c:pt idx="12">
                  <c:v>8257</c:v>
                </c:pt>
                <c:pt idx="13">
                  <c:v>15</c:v>
                </c:pt>
                <c:pt idx="14">
                  <c:v>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67-41C1-97C1-0A2DA02E6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162312"/>
        <c:axId val="470163952"/>
      </c:barChart>
      <c:catAx>
        <c:axId val="47016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63952"/>
        <c:crosses val="autoZero"/>
        <c:auto val="1"/>
        <c:lblAlgn val="ctr"/>
        <c:lblOffset val="100"/>
        <c:noMultiLvlLbl val="0"/>
      </c:catAx>
      <c:valAx>
        <c:axId val="47016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IQ" sz="1200" b="1"/>
                  <a:t>العدد </a:t>
                </a:r>
                <a:endParaRPr lang="en-US" sz="1200" b="1"/>
              </a:p>
            </c:rich>
          </c:tx>
          <c:layout>
            <c:manualLayout>
              <c:xMode val="edge"/>
              <c:yMode val="edge"/>
              <c:x val="2.6206169371386964E-2"/>
              <c:y val="7.1547279722855836E-2"/>
            </c:manualLayout>
          </c:layout>
          <c:overlay val="0"/>
          <c:spPr>
            <a:noFill/>
            <a:ln cmpd="sng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62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672531682967915"/>
          <c:y val="0.22587235031101113"/>
          <c:w val="7.0445254109162511E-2"/>
          <c:h val="0.12111800953334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lang="en-US" sz="1400" b="0"/>
            </a:pPr>
            <a:r>
              <a:rPr lang="en-US" sz="1400" b="0"/>
              <a:t>(5)</a:t>
            </a:r>
            <a:r>
              <a:rPr lang="ar-IQ" sz="1400" b="0"/>
              <a:t>شكل 
</a:t>
            </a:r>
            <a:r>
              <a:rPr lang="en-US" sz="1400" b="0"/>
              <a:t> 2025</a:t>
            </a:r>
            <a:r>
              <a:rPr lang="ar-IQ" sz="1400" b="0"/>
              <a:t>كمية المواد المستخدمة في البناء لمادة ( الحجر</a:t>
            </a:r>
            <a:r>
              <a:rPr lang="ar-IQ" sz="1400" b="0" baseline="0"/>
              <a:t> والحصى )</a:t>
            </a:r>
            <a:r>
              <a:rPr lang="ar-IQ" sz="1400" b="0"/>
              <a:t> حسب المحافظات لسنة </a:t>
            </a:r>
          </a:p>
        </c:rich>
      </c:tx>
      <c:layout>
        <c:manualLayout>
          <c:xMode val="edge"/>
          <c:yMode val="edge"/>
          <c:x val="0.2067576009620323"/>
          <c:y val="4.1741408829920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62428148644094"/>
          <c:y val="0.17307691960191718"/>
          <c:w val="0.76871794878644673"/>
          <c:h val="0.63811188811190001"/>
        </c:manualLayout>
      </c:layout>
      <c:barChart>
        <c:barDir val="col"/>
        <c:grouping val="clustered"/>
        <c:varyColors val="0"/>
        <c:ser>
          <c:idx val="0"/>
          <c:order val="0"/>
          <c:tx>
            <c:v>حجر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حصى!$A$9:$A$23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حجر!$F$10:$F$13</c:f>
              <c:numCache>
                <c:formatCode>#,##0</c:formatCode>
                <c:ptCount val="4"/>
                <c:pt idx="0">
                  <c:v>41757</c:v>
                </c:pt>
                <c:pt idx="1">
                  <c:v>107739</c:v>
                </c:pt>
                <c:pt idx="2">
                  <c:v>50490</c:v>
                </c:pt>
                <c:pt idx="3">
                  <c:v>65342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8-4920-9584-C63D77F58982}"/>
            </c:ext>
          </c:extLst>
        </c:ser>
        <c:ser>
          <c:idx val="1"/>
          <c:order val="1"/>
          <c:tx>
            <c:strRef>
              <c:f>حصى!$C$4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حصى!$A$9:$A$23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حصى!$F$9:$F$23</c:f>
              <c:numCache>
                <c:formatCode>#,##0</c:formatCode>
                <c:ptCount val="15"/>
                <c:pt idx="0">
                  <c:v>49925</c:v>
                </c:pt>
                <c:pt idx="1">
                  <c:v>41305</c:v>
                </c:pt>
                <c:pt idx="2">
                  <c:v>90618</c:v>
                </c:pt>
                <c:pt idx="3">
                  <c:v>114979</c:v>
                </c:pt>
                <c:pt idx="4">
                  <c:v>173403</c:v>
                </c:pt>
                <c:pt idx="5">
                  <c:v>63376</c:v>
                </c:pt>
                <c:pt idx="6">
                  <c:v>81774</c:v>
                </c:pt>
                <c:pt idx="7">
                  <c:v>33075</c:v>
                </c:pt>
                <c:pt idx="8">
                  <c:v>26278</c:v>
                </c:pt>
                <c:pt idx="9">
                  <c:v>107852</c:v>
                </c:pt>
                <c:pt idx="10">
                  <c:v>55138</c:v>
                </c:pt>
                <c:pt idx="11">
                  <c:v>38069</c:v>
                </c:pt>
                <c:pt idx="12">
                  <c:v>34171</c:v>
                </c:pt>
                <c:pt idx="13">
                  <c:v>11107</c:v>
                </c:pt>
                <c:pt idx="14">
                  <c:v>114668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8-4920-9584-C63D77F58982}"/>
            </c:ext>
          </c:extLst>
        </c:ser>
        <c:ser>
          <c:idx val="2"/>
          <c:order val="2"/>
          <c:tx>
            <c:strRef>
              <c:f>رمل!$C$4</c:f>
              <c:strCache>
                <c:ptCount val="1"/>
              </c:strCache>
            </c:strRef>
          </c:tx>
          <c:invertIfNegative val="0"/>
          <c:cat>
            <c:strRef>
              <c:f>حصى!$A$9:$A$23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رمل!$F$9:$F$23</c:f>
              <c:numCache>
                <c:formatCode>#,##0</c:formatCode>
                <c:ptCount val="15"/>
                <c:pt idx="0">
                  <c:v>56</c:v>
                </c:pt>
                <c:pt idx="1">
                  <c:v>34</c:v>
                </c:pt>
                <c:pt idx="2">
                  <c:v>94</c:v>
                </c:pt>
                <c:pt idx="3">
                  <c:v>76</c:v>
                </c:pt>
                <c:pt idx="4">
                  <c:v>637</c:v>
                </c:pt>
                <c:pt idx="5">
                  <c:v>100</c:v>
                </c:pt>
                <c:pt idx="6">
                  <c:v>83</c:v>
                </c:pt>
                <c:pt idx="7">
                  <c:v>96</c:v>
                </c:pt>
                <c:pt idx="8">
                  <c:v>25</c:v>
                </c:pt>
                <c:pt idx="9">
                  <c:v>131</c:v>
                </c:pt>
                <c:pt idx="10">
                  <c:v>74</c:v>
                </c:pt>
                <c:pt idx="11">
                  <c:v>70</c:v>
                </c:pt>
                <c:pt idx="12">
                  <c:v>115</c:v>
                </c:pt>
                <c:pt idx="13">
                  <c:v>23</c:v>
                </c:pt>
                <c:pt idx="14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8-4920-9584-C63D77F58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68320"/>
        <c:axId val="256705664"/>
      </c:barChart>
      <c:catAx>
        <c:axId val="25656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ar-IQ"/>
                  <a:t>المحافظة</a:t>
                </a:r>
              </a:p>
            </c:rich>
          </c:tx>
          <c:layout>
            <c:manualLayout>
              <c:xMode val="edge"/>
              <c:yMode val="edge"/>
              <c:x val="0.93012443080357288"/>
              <c:y val="0.821338356801785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340000" vert="horz"/>
          <a:lstStyle/>
          <a:p>
            <a:pPr>
              <a:defRPr lang="en-US"/>
            </a:pPr>
            <a:endParaRPr lang="en-US"/>
          </a:p>
        </c:txPr>
        <c:crossAx val="256705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6705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ar-IQ"/>
                  <a:t>العدد</a:t>
                </a:r>
              </a:p>
            </c:rich>
          </c:tx>
          <c:layout>
            <c:manualLayout>
              <c:xMode val="edge"/>
              <c:yMode val="edge"/>
              <c:x val="9.4826348804487703E-2"/>
              <c:y val="0.1042820598014080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en-US"/>
          </a:p>
        </c:txPr>
        <c:crossAx val="256568320"/>
        <c:crosses val="autoZero"/>
        <c:crossBetween val="between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82648360689612044"/>
          <c:y val="0.23048546983879012"/>
          <c:w val="5.7097906252179524E-2"/>
          <c:h val="0.13046835054710093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>
      <c:oddFooter>&amp;C31</c:oddFooter>
    </c:headerFooter>
    <c:pageMargins b="1" l="0.75000000000000844" r="1.49" t="1" header="0.5" footer="0.5"/>
    <c:pageSetup paperSize="9" orientation="landscape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lang="en-US" sz="1400" b="0"/>
            </a:pPr>
            <a:r>
              <a:rPr lang="en-US" sz="1400" b="0"/>
              <a:t> </a:t>
            </a:r>
            <a:r>
              <a:rPr lang="ar-IQ" sz="1400" b="0"/>
              <a:t>شكل</a:t>
            </a:r>
            <a:r>
              <a:rPr lang="ar-IQ" sz="1400" b="0" baseline="0"/>
              <a:t> (6)</a:t>
            </a:r>
            <a:r>
              <a:rPr lang="ar-IQ" sz="1400" b="0"/>
              <a:t> 
 </a:t>
            </a:r>
            <a:r>
              <a:rPr lang="ar-IQ" sz="1400" b="1" baseline="0"/>
              <a:t> </a:t>
            </a:r>
            <a:r>
              <a:rPr lang="ar-IQ" sz="1400" b="0"/>
              <a:t>كمية المواد الانشائية المستخدمة لمادة (</a:t>
            </a:r>
            <a:r>
              <a:rPr lang="ar-IQ" sz="1400" b="0" baseline="0"/>
              <a:t> الجص والسمنت )</a:t>
            </a:r>
            <a:r>
              <a:rPr lang="ar-IQ" sz="1400" b="0"/>
              <a:t>حسب المحافظات لسنة 2025</a:t>
            </a:r>
            <a:r>
              <a:rPr lang="en-US" sz="1400" b="0"/>
              <a:t> </a:t>
            </a:r>
            <a:r>
              <a:rPr lang="ar-IQ" sz="1400" b="0" baseline="0"/>
              <a:t> </a:t>
            </a:r>
            <a:endParaRPr lang="ar-IQ" sz="1400" b="0"/>
          </a:p>
        </c:rich>
      </c:tx>
      <c:layout>
        <c:manualLayout>
          <c:xMode val="edge"/>
          <c:yMode val="edge"/>
          <c:x val="0.19939837127644824"/>
          <c:y val="3.2564939534842408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18536181686"/>
          <c:y val="0.12706291103114531"/>
          <c:w val="0.85490837513617701"/>
          <c:h val="0.65977110729179433"/>
        </c:manualLayout>
      </c:layout>
      <c:bar3DChart>
        <c:barDir val="col"/>
        <c:grouping val="clustered"/>
        <c:varyColors val="0"/>
        <c:ser>
          <c:idx val="0"/>
          <c:order val="0"/>
          <c:tx>
            <c:v>جص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جص!$A$9:$A$23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جص!$F$9:$F$23</c:f>
              <c:numCache>
                <c:formatCode>#,##0</c:formatCode>
                <c:ptCount val="15"/>
                <c:pt idx="0">
                  <c:v>9195</c:v>
                </c:pt>
                <c:pt idx="1">
                  <c:v>18761</c:v>
                </c:pt>
                <c:pt idx="2">
                  <c:v>25763</c:v>
                </c:pt>
                <c:pt idx="3">
                  <c:v>19668</c:v>
                </c:pt>
                <c:pt idx="4">
                  <c:v>120187</c:v>
                </c:pt>
                <c:pt idx="5">
                  <c:v>12042</c:v>
                </c:pt>
                <c:pt idx="6">
                  <c:v>23255</c:v>
                </c:pt>
                <c:pt idx="7">
                  <c:v>11414</c:v>
                </c:pt>
                <c:pt idx="8">
                  <c:v>7020</c:v>
                </c:pt>
                <c:pt idx="9">
                  <c:v>19888</c:v>
                </c:pt>
                <c:pt idx="10">
                  <c:v>3808</c:v>
                </c:pt>
                <c:pt idx="11">
                  <c:v>7688</c:v>
                </c:pt>
                <c:pt idx="12">
                  <c:v>4571</c:v>
                </c:pt>
                <c:pt idx="13">
                  <c:v>2154</c:v>
                </c:pt>
                <c:pt idx="14">
                  <c:v>33016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C-4FD5-8EBB-389EAEED8BE0}"/>
            </c:ext>
          </c:extLst>
        </c:ser>
        <c:ser>
          <c:idx val="1"/>
          <c:order val="1"/>
          <c:tx>
            <c:v>سمنت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سمنت!$H$9:$H$23</c:f>
              <c:numCache>
                <c:formatCode>#,##0</c:formatCode>
                <c:ptCount val="15"/>
                <c:pt idx="0" formatCode="_(* #,##0_);_(* \(#,##0\);_(* &quot;-&quot;??_);_(@_)">
                  <c:v>23325</c:v>
                </c:pt>
                <c:pt idx="1">
                  <c:v>15472</c:v>
                </c:pt>
                <c:pt idx="2" formatCode="_(* #,##0_);_(* \(#,##0\);_(* &quot;-&quot;??_);_(@_)">
                  <c:v>38874</c:v>
                </c:pt>
                <c:pt idx="3">
                  <c:v>29607</c:v>
                </c:pt>
                <c:pt idx="4" formatCode="_(* #,##0_);_(* \(#,##0\);_(* &quot;-&quot;??_);_(@_)">
                  <c:v>157724</c:v>
                </c:pt>
                <c:pt idx="5">
                  <c:v>31529</c:v>
                </c:pt>
                <c:pt idx="6" formatCode="_(* #,##0_);_(* \(#,##0\);_(* &quot;-&quot;??_);_(@_)">
                  <c:v>46599</c:v>
                </c:pt>
                <c:pt idx="7">
                  <c:v>38932</c:v>
                </c:pt>
                <c:pt idx="8" formatCode="_(* #,##0_);_(* \(#,##0\);_(* &quot;-&quot;??_);_(@_)">
                  <c:v>9559</c:v>
                </c:pt>
                <c:pt idx="9">
                  <c:v>50643</c:v>
                </c:pt>
                <c:pt idx="10" formatCode="_(* #,##0_);_(* \(#,##0\);_(* &quot;-&quot;??_);_(@_)">
                  <c:v>33357</c:v>
                </c:pt>
                <c:pt idx="11">
                  <c:v>31249</c:v>
                </c:pt>
                <c:pt idx="12" formatCode="_(* #,##0_);_(* \(#,##0\);_(* &quot;-&quot;??_);_(@_)">
                  <c:v>29555</c:v>
                </c:pt>
                <c:pt idx="13">
                  <c:v>3823</c:v>
                </c:pt>
                <c:pt idx="14" formatCode="_(* #,##0_);_(* \(#,##0\);_(* &quot;-&quot;??_);_(@_)">
                  <c:v>67365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C-4FD5-8EBB-389EAEED8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6746624"/>
        <c:axId val="256748160"/>
        <c:axId val="0"/>
      </c:bar3DChart>
      <c:catAx>
        <c:axId val="25674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560000" vert="horz"/>
          <a:lstStyle/>
          <a:p>
            <a:pPr>
              <a:defRPr lang="en-US"/>
            </a:pPr>
            <a:endParaRPr lang="en-US"/>
          </a:p>
        </c:txPr>
        <c:crossAx val="256748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674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en-US"/>
          </a:p>
        </c:txPr>
        <c:crossAx val="256746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655383984220658"/>
          <c:y val="0.45049577547406588"/>
          <c:w val="7.8989186079597845E-2"/>
          <c:h val="0.12047341798011379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>
      <c:oddFooter>&amp;C34</c:oddFooter>
    </c:headerFooter>
    <c:pageMargins b="1" l="0.42000000000000032" r="0.85000000000000064" t="1" header="0.5" footer="0.5"/>
    <c:pageSetup orientation="landscape" verticalDpi="12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lang="en-US" sz="1400" b="0"/>
            </a:pPr>
            <a:r>
              <a:rPr lang="en-US" sz="1400" b="0"/>
              <a:t>(7)</a:t>
            </a:r>
            <a:r>
              <a:rPr lang="ar-IQ" sz="1400" b="0"/>
              <a:t>شكل </a:t>
            </a:r>
            <a:r>
              <a:rPr lang="en-US" sz="1400" b="0"/>
              <a:t> </a:t>
            </a:r>
          </a:p>
          <a:p>
            <a:pPr rtl="0">
              <a:defRPr lang="en-US" sz="1400" b="0"/>
            </a:pPr>
            <a:r>
              <a:rPr lang="ar-IQ" sz="1400" b="0"/>
              <a:t>2025</a:t>
            </a:r>
            <a:r>
              <a:rPr lang="en-US" sz="1400" b="0"/>
              <a:t> </a:t>
            </a:r>
            <a:r>
              <a:rPr lang="ar-IQ" sz="1400" b="0"/>
              <a:t>كمية المواد الانشائية المستخدمة في البناء لمادة ( الكاشي ) حسب المحافظات لسنة</a:t>
            </a:r>
          </a:p>
        </c:rich>
      </c:tx>
      <c:layout>
        <c:manualLayout>
          <c:xMode val="edge"/>
          <c:yMode val="edge"/>
          <c:x val="0.1872749099639856"/>
          <c:y val="2.7777777777780729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835472223430634E-2"/>
          <c:y val="0.16890721179195234"/>
          <c:w val="0.9358476328573031"/>
          <c:h val="0.701780430999611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كاشي!$C$4</c:f>
              <c:strCache>
                <c:ptCount val="1"/>
                <c:pt idx="0">
                  <c:v> بلاط الارضية     (كاشي)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كاشي!$A$9:$A$23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كاشي2!$H$9:$H$23</c:f>
              <c:numCache>
                <c:formatCode>#,##0</c:formatCode>
                <c:ptCount val="15"/>
                <c:pt idx="0">
                  <c:v>2285</c:v>
                </c:pt>
                <c:pt idx="1">
                  <c:v>2018</c:v>
                </c:pt>
                <c:pt idx="2">
                  <c:v>5966</c:v>
                </c:pt>
                <c:pt idx="3">
                  <c:v>3942</c:v>
                </c:pt>
                <c:pt idx="4">
                  <c:v>20011</c:v>
                </c:pt>
                <c:pt idx="5">
                  <c:v>5400</c:v>
                </c:pt>
                <c:pt idx="6">
                  <c:v>3378</c:v>
                </c:pt>
                <c:pt idx="7">
                  <c:v>3056</c:v>
                </c:pt>
                <c:pt idx="8">
                  <c:v>991</c:v>
                </c:pt>
                <c:pt idx="9">
                  <c:v>7603</c:v>
                </c:pt>
                <c:pt idx="10">
                  <c:v>3298</c:v>
                </c:pt>
                <c:pt idx="11">
                  <c:v>2662</c:v>
                </c:pt>
                <c:pt idx="12">
                  <c:v>5235</c:v>
                </c:pt>
                <c:pt idx="13">
                  <c:v>704</c:v>
                </c:pt>
                <c:pt idx="14">
                  <c:v>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8-4F2E-9E42-4D1E8EC64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6267392"/>
        <c:axId val="256268928"/>
        <c:axId val="0"/>
      </c:bar3DChart>
      <c:catAx>
        <c:axId val="2562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3600000" vert="horz"/>
          <a:lstStyle/>
          <a:p>
            <a:pPr>
              <a:defRPr lang="en-US"/>
            </a:pPr>
            <a:endParaRPr lang="en-US"/>
          </a:p>
        </c:txPr>
        <c:crossAx val="25626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268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en-US"/>
          </a:p>
        </c:txPr>
        <c:crossAx val="256267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82389995372755"/>
          <c:y val="0.14755315061734386"/>
          <c:w val="0.20476342261659591"/>
          <c:h val="7.4535667633225347E-2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 alignWithMargins="0">
      <c:oddFooter>&amp;C37</c:oddFooter>
    </c:headerFooter>
    <c:pageMargins b="0.98425196850393659" l="0.23622047244094499" r="1.1417322834645698" t="0.98425196850393659" header="0.511811023622047" footer="0.511811023622047"/>
    <c:pageSetup orientation="landscape" verticalDpi="12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</xdr:rowOff>
    </xdr:from>
    <xdr:to>
      <xdr:col>6</xdr:col>
      <xdr:colOff>1428750</xdr:colOff>
      <xdr:row>52</xdr:row>
      <xdr:rowOff>56675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88901</xdr:colOff>
      <xdr:row>0</xdr:row>
      <xdr:rowOff>117475</xdr:rowOff>
    </xdr:from>
    <xdr:to>
      <xdr:col>13</xdr:col>
      <xdr:colOff>521607</xdr:colOff>
      <xdr:row>29</xdr:row>
      <xdr:rowOff>97064</xdr:rowOff>
    </xdr:to>
    <xdr:graphicFrame macro="">
      <xdr:nvGraphicFramePr>
        <xdr:cNvPr id="1540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57151</xdr:rowOff>
    </xdr:from>
    <xdr:to>
      <xdr:col>13</xdr:col>
      <xdr:colOff>309244</xdr:colOff>
      <xdr:row>33</xdr:row>
      <xdr:rowOff>102871</xdr:rowOff>
    </xdr:to>
    <xdr:graphicFrame macro="">
      <xdr:nvGraphicFramePr>
        <xdr:cNvPr id="1745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1</xdr:col>
      <xdr:colOff>85725</xdr:colOff>
      <xdr:row>31</xdr:row>
      <xdr:rowOff>123825</xdr:rowOff>
    </xdr:to>
    <xdr:sp macro="" textlink="">
      <xdr:nvSpPr>
        <xdr:cNvPr id="2" name="TextBox 1"/>
        <xdr:cNvSpPr txBox="1"/>
      </xdr:nvSpPr>
      <xdr:spPr>
        <a:xfrm>
          <a:off x="9986952975" y="4876800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/>
            <a:t>المحافظة</a:t>
          </a:r>
          <a:endParaRPr lang="en-US" sz="1200" b="1"/>
        </a:p>
      </xdr:txBody>
    </xdr:sp>
    <xdr:clientData/>
  </xdr:twoCellAnchor>
  <xdr:twoCellAnchor>
    <xdr:from>
      <xdr:col>12</xdr:col>
      <xdr:colOff>152400</xdr:colOff>
      <xdr:row>6</xdr:row>
      <xdr:rowOff>66675</xdr:rowOff>
    </xdr:from>
    <xdr:to>
      <xdr:col>12</xdr:col>
      <xdr:colOff>628650</xdr:colOff>
      <xdr:row>8</xdr:row>
      <xdr:rowOff>9525</xdr:rowOff>
    </xdr:to>
    <xdr:sp macro="" textlink="">
      <xdr:nvSpPr>
        <xdr:cNvPr id="10" name="TextBox 9"/>
        <xdr:cNvSpPr txBox="1"/>
      </xdr:nvSpPr>
      <xdr:spPr>
        <a:xfrm>
          <a:off x="9979790175" y="1038225"/>
          <a:ext cx="476250" cy="2667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IQ" sz="12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العدد</a:t>
          </a:r>
          <a:endParaRPr kumimoji="0" lang="en-US" sz="1200" b="1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0.13028</cdr:x>
      <cdr:y>0.1222</cdr:y>
    </cdr:from>
    <cdr:to>
      <cdr:x>0.24296</cdr:x>
      <cdr:y>0.28744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57275" y="6762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1"/>
        <a:lstStyle xmlns:a="http://schemas.openxmlformats.org/drawingml/2006/main"/>
        <a:p xmlns:a="http://schemas.openxmlformats.org/drawingml/2006/main">
          <a:endParaRPr lang="ar-IQ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54430</xdr:rowOff>
    </xdr:from>
    <xdr:to>
      <xdr:col>13</xdr:col>
      <xdr:colOff>544287</xdr:colOff>
      <xdr:row>26</xdr:row>
      <xdr:rowOff>108857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68036</xdr:rowOff>
    </xdr:from>
    <xdr:to>
      <xdr:col>1</xdr:col>
      <xdr:colOff>205147</xdr:colOff>
      <xdr:row>26</xdr:row>
      <xdr:rowOff>9711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0463496" y="3986893"/>
          <a:ext cx="695004" cy="268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</xdr:colOff>
      <xdr:row>0</xdr:row>
      <xdr:rowOff>19049</xdr:rowOff>
    </xdr:from>
    <xdr:to>
      <xdr:col>15</xdr:col>
      <xdr:colOff>297180</xdr:colOff>
      <xdr:row>30</xdr:row>
      <xdr:rowOff>76200</xdr:rowOff>
    </xdr:to>
    <xdr:graphicFrame macro="">
      <xdr:nvGraphicFramePr>
        <xdr:cNvPr id="19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129540</xdr:colOff>
      <xdr:row>30</xdr:row>
      <xdr:rowOff>15241</xdr:rowOff>
    </xdr:to>
    <xdr:graphicFrame macro="">
      <xdr:nvGraphicFramePr>
        <xdr:cNvPr id="2052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547687</xdr:colOff>
      <xdr:row>1</xdr:row>
      <xdr:rowOff>95250</xdr:rowOff>
    </xdr:from>
    <xdr:to>
      <xdr:col>12</xdr:col>
      <xdr:colOff>28575</xdr:colOff>
      <xdr:row>3</xdr:row>
      <xdr:rowOff>28575</xdr:rowOff>
    </xdr:to>
    <xdr:sp macro="" textlink="">
      <xdr:nvSpPr>
        <xdr:cNvPr id="7" name="TextBox 6"/>
        <xdr:cNvSpPr txBox="1"/>
      </xdr:nvSpPr>
      <xdr:spPr>
        <a:xfrm>
          <a:off x="9941356800" y="261938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/>
            <a:t>الكمية</a:t>
          </a:r>
          <a:endParaRPr lang="en-US" sz="1200" b="1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0.83123</cdr:x>
      <cdr:y>0.80654</cdr:y>
    </cdr:from>
    <cdr:to>
      <cdr:x>0.91756</cdr:x>
      <cdr:y>0.86127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669245" y="4045510"/>
          <a:ext cx="692652" cy="274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r>
            <a:rPr lang="ar-IQ" sz="1200" b="1"/>
            <a:t>المحافظة</a:t>
          </a:r>
          <a:endParaRPr lang="en-US" sz="1200" b="1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57149</xdr:rowOff>
    </xdr:from>
    <xdr:to>
      <xdr:col>14</xdr:col>
      <xdr:colOff>400050</xdr:colOff>
      <xdr:row>30</xdr:row>
      <xdr:rowOff>107155</xdr:rowOff>
    </xdr:to>
    <xdr:graphicFrame macro="">
      <xdr:nvGraphicFramePr>
        <xdr:cNvPr id="215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119062</xdr:colOff>
      <xdr:row>27</xdr:row>
      <xdr:rowOff>-1</xdr:rowOff>
    </xdr:from>
    <xdr:to>
      <xdr:col>2</xdr:col>
      <xdr:colOff>207169</xdr:colOff>
      <xdr:row>28</xdr:row>
      <xdr:rowOff>100012</xdr:rowOff>
    </xdr:to>
    <xdr:sp macro="" textlink="">
      <xdr:nvSpPr>
        <xdr:cNvPr id="7" name="TextBox 6"/>
        <xdr:cNvSpPr txBox="1"/>
      </xdr:nvSpPr>
      <xdr:spPr>
        <a:xfrm>
          <a:off x="9947143238" y="4500562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/>
            <a:t>المحافظة</a:t>
          </a:r>
          <a:endParaRPr lang="en-US" sz="1200" b="1"/>
        </a:p>
      </xdr:txBody>
    </xdr:sp>
    <xdr:clientData/>
  </xdr:twoCellAnchor>
  <xdr:twoCellAnchor>
    <xdr:from>
      <xdr:col>12</xdr:col>
      <xdr:colOff>392906</xdr:colOff>
      <xdr:row>3</xdr:row>
      <xdr:rowOff>130968</xdr:rowOff>
    </xdr:from>
    <xdr:to>
      <xdr:col>13</xdr:col>
      <xdr:colOff>481013</xdr:colOff>
      <xdr:row>5</xdr:row>
      <xdr:rowOff>64293</xdr:rowOff>
    </xdr:to>
    <xdr:sp macro="" textlink="">
      <xdr:nvSpPr>
        <xdr:cNvPr id="8" name="TextBox 7"/>
        <xdr:cNvSpPr txBox="1"/>
      </xdr:nvSpPr>
      <xdr:spPr>
        <a:xfrm>
          <a:off x="9940297144" y="631031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/>
            <a:t>الكمية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7"/>
  <sheetViews>
    <sheetView rightToLeft="1" tabSelected="1" showWhiteSpace="0" view="pageBreakPreview" zoomScaleNormal="80" zoomScaleSheetLayoutView="100" workbookViewId="0">
      <selection activeCell="I13" sqref="I13"/>
    </sheetView>
  </sheetViews>
  <sheetFormatPr defaultRowHeight="13.2"/>
  <cols>
    <col min="1" max="1" width="11" customWidth="1"/>
    <col min="2" max="2" width="15.6640625" customWidth="1"/>
    <col min="3" max="3" width="18.109375" customWidth="1"/>
    <col min="4" max="4" width="16.6640625" customWidth="1"/>
    <col min="5" max="5" width="18.6640625" customWidth="1"/>
    <col min="6" max="6" width="19.33203125" customWidth="1"/>
    <col min="7" max="7" width="21.6640625" customWidth="1"/>
    <col min="8" max="8" width="9" customWidth="1"/>
    <col min="9" max="9" width="10.88671875" bestFit="1" customWidth="1"/>
    <col min="10" max="10" width="13" bestFit="1" customWidth="1"/>
    <col min="11" max="11" width="12" bestFit="1" customWidth="1"/>
    <col min="15" max="15" width="18.6640625" customWidth="1"/>
    <col min="16" max="16" width="13.44140625" customWidth="1"/>
    <col min="17" max="17" width="12.88671875" customWidth="1"/>
  </cols>
  <sheetData>
    <row r="3" spans="1:11" ht="18.75" customHeight="1">
      <c r="A3" s="876" t="s">
        <v>459</v>
      </c>
      <c r="B3" s="876"/>
      <c r="C3" s="876"/>
      <c r="D3" s="876"/>
      <c r="E3" s="876"/>
      <c r="F3" s="876"/>
      <c r="G3" s="876"/>
    </row>
    <row r="4" spans="1:11" ht="13.8">
      <c r="A4" s="877" t="s">
        <v>460</v>
      </c>
      <c r="B4" s="877"/>
      <c r="C4" s="877"/>
      <c r="D4" s="877"/>
      <c r="E4" s="877"/>
      <c r="F4" s="877"/>
      <c r="G4" s="877"/>
    </row>
    <row r="5" spans="1:11" ht="13.8">
      <c r="A5" s="620" t="s">
        <v>380</v>
      </c>
      <c r="B5" s="621"/>
      <c r="C5" s="621"/>
      <c r="D5" s="621"/>
      <c r="E5" s="621"/>
      <c r="F5" s="621"/>
      <c r="G5" s="614" t="s">
        <v>185</v>
      </c>
    </row>
    <row r="6" spans="1:11" ht="15.75" customHeight="1">
      <c r="A6" s="622"/>
      <c r="B6" s="878" t="s">
        <v>251</v>
      </c>
      <c r="C6" s="879" t="s">
        <v>369</v>
      </c>
      <c r="D6" s="879" t="s">
        <v>370</v>
      </c>
      <c r="E6" s="879" t="s">
        <v>375</v>
      </c>
      <c r="F6" s="878" t="s">
        <v>376</v>
      </c>
      <c r="G6" s="879" t="s">
        <v>371</v>
      </c>
    </row>
    <row r="7" spans="1:11" ht="15" customHeight="1">
      <c r="A7" s="623"/>
      <c r="B7" s="878"/>
      <c r="C7" s="879"/>
      <c r="D7" s="879"/>
      <c r="E7" s="879"/>
      <c r="F7" s="878"/>
      <c r="G7" s="879"/>
    </row>
    <row r="8" spans="1:11" ht="47.25" customHeight="1">
      <c r="A8" s="624" t="s">
        <v>372</v>
      </c>
      <c r="B8" s="625" t="s">
        <v>313</v>
      </c>
      <c r="C8" s="626" t="s">
        <v>291</v>
      </c>
      <c r="D8" s="626" t="s">
        <v>293</v>
      </c>
      <c r="E8" s="626" t="s">
        <v>290</v>
      </c>
      <c r="F8" s="626" t="s">
        <v>289</v>
      </c>
      <c r="G8" s="627" t="s">
        <v>292</v>
      </c>
    </row>
    <row r="9" spans="1:11" ht="14.4" thickBot="1">
      <c r="A9" s="628" t="s">
        <v>310</v>
      </c>
      <c r="B9" s="628" t="s">
        <v>253</v>
      </c>
      <c r="C9" s="628" t="s">
        <v>253</v>
      </c>
      <c r="D9" s="628" t="s">
        <v>253</v>
      </c>
      <c r="E9" s="628" t="s">
        <v>184</v>
      </c>
      <c r="F9" s="628" t="s">
        <v>184</v>
      </c>
      <c r="G9" s="628" t="s">
        <v>184</v>
      </c>
    </row>
    <row r="10" spans="1:11" ht="13.8">
      <c r="A10" s="630">
        <v>2012</v>
      </c>
      <c r="B10" s="631">
        <v>4421670</v>
      </c>
      <c r="C10" s="631">
        <v>3622022</v>
      </c>
      <c r="D10" s="631">
        <v>661140</v>
      </c>
      <c r="E10" s="631">
        <v>66391</v>
      </c>
      <c r="F10" s="631">
        <v>21828</v>
      </c>
      <c r="G10" s="631">
        <v>11</v>
      </c>
      <c r="H10" s="166"/>
      <c r="I10" s="166"/>
      <c r="J10" s="166"/>
      <c r="K10" s="166"/>
    </row>
    <row r="11" spans="1:11" ht="13.8">
      <c r="A11" s="629">
        <v>2013</v>
      </c>
      <c r="B11" s="632">
        <v>7158370</v>
      </c>
      <c r="C11" s="622">
        <v>6603278</v>
      </c>
      <c r="D11" s="622">
        <v>555092</v>
      </c>
      <c r="E11" s="622">
        <v>61558</v>
      </c>
      <c r="F11" s="622">
        <v>15388</v>
      </c>
      <c r="G11" s="622">
        <v>13</v>
      </c>
      <c r="H11" s="166"/>
      <c r="I11" s="166"/>
      <c r="J11" s="166"/>
      <c r="K11" s="166"/>
    </row>
    <row r="12" spans="1:11" s="4" customFormat="1" ht="13.8">
      <c r="A12" s="633">
        <v>2014</v>
      </c>
      <c r="B12" s="631">
        <v>3320102</v>
      </c>
      <c r="C12" s="631">
        <v>2873631</v>
      </c>
      <c r="D12" s="631">
        <v>446471</v>
      </c>
      <c r="E12" s="631">
        <v>36291</v>
      </c>
      <c r="F12" s="631">
        <v>11580</v>
      </c>
      <c r="G12" s="631">
        <v>8</v>
      </c>
      <c r="H12" s="166"/>
      <c r="I12" s="554"/>
      <c r="J12" s="166"/>
      <c r="K12" s="166"/>
    </row>
    <row r="13" spans="1:11" ht="13.8">
      <c r="A13" s="634">
        <v>2015</v>
      </c>
      <c r="B13" s="632">
        <v>1932360</v>
      </c>
      <c r="C13" s="622">
        <v>1231567</v>
      </c>
      <c r="D13" s="622">
        <v>700793</v>
      </c>
      <c r="E13" s="622">
        <v>36655</v>
      </c>
      <c r="F13" s="622">
        <v>10886</v>
      </c>
      <c r="G13" s="622">
        <v>4</v>
      </c>
      <c r="H13" s="166"/>
      <c r="I13" s="166"/>
      <c r="J13" s="166"/>
      <c r="K13" s="166"/>
    </row>
    <row r="14" spans="1:11" s="110" customFormat="1" ht="13.8">
      <c r="A14" s="635">
        <v>2016</v>
      </c>
      <c r="B14" s="636">
        <v>1962888</v>
      </c>
      <c r="C14" s="631">
        <v>1297872</v>
      </c>
      <c r="D14" s="631">
        <v>659555</v>
      </c>
      <c r="E14" s="631">
        <v>37973</v>
      </c>
      <c r="F14" s="631">
        <v>9369</v>
      </c>
      <c r="G14" s="631">
        <v>11</v>
      </c>
      <c r="H14" s="166"/>
      <c r="I14" s="166"/>
      <c r="J14" s="166"/>
      <c r="K14" s="166"/>
    </row>
    <row r="15" spans="1:11" s="166" customFormat="1" ht="13.8">
      <c r="A15" s="634">
        <v>2017</v>
      </c>
      <c r="B15" s="632">
        <v>1479020</v>
      </c>
      <c r="C15" s="622">
        <v>819485</v>
      </c>
      <c r="D15" s="622">
        <v>659555</v>
      </c>
      <c r="E15" s="622">
        <v>41885</v>
      </c>
      <c r="F15" s="622">
        <v>8836</v>
      </c>
      <c r="G15" s="622">
        <v>2</v>
      </c>
    </row>
    <row r="16" spans="1:11" ht="13.8">
      <c r="A16" s="635">
        <v>2018</v>
      </c>
      <c r="B16" s="636">
        <v>1398142</v>
      </c>
      <c r="C16" s="636">
        <v>901626</v>
      </c>
      <c r="D16" s="636">
        <v>496515</v>
      </c>
      <c r="E16" s="636">
        <v>36379</v>
      </c>
      <c r="F16" s="636">
        <v>7324</v>
      </c>
      <c r="G16" s="637">
        <v>6</v>
      </c>
      <c r="H16" s="166"/>
      <c r="I16" s="166"/>
      <c r="J16" s="166"/>
      <c r="K16" s="166"/>
    </row>
    <row r="17" spans="1:12" ht="13.8">
      <c r="A17" s="634">
        <v>2019</v>
      </c>
      <c r="B17" s="632">
        <v>1162220</v>
      </c>
      <c r="C17" s="653">
        <v>556023</v>
      </c>
      <c r="D17" s="632">
        <v>606196</v>
      </c>
      <c r="E17" s="632">
        <v>35966</v>
      </c>
      <c r="F17" s="632">
        <v>12038.66</v>
      </c>
      <c r="G17" s="638">
        <v>13</v>
      </c>
    </row>
    <row r="18" spans="1:12" ht="13.8">
      <c r="A18" s="635">
        <v>2020</v>
      </c>
      <c r="B18" s="639">
        <v>949191</v>
      </c>
      <c r="C18" s="639">
        <v>403887</v>
      </c>
      <c r="D18" s="639">
        <v>545304</v>
      </c>
      <c r="E18" s="639">
        <v>29355</v>
      </c>
      <c r="F18" s="639">
        <v>7959</v>
      </c>
      <c r="G18" s="594">
        <v>6</v>
      </c>
    </row>
    <row r="19" spans="1:12" ht="13.8">
      <c r="A19" s="634">
        <v>2021</v>
      </c>
      <c r="B19" s="632">
        <v>1852178</v>
      </c>
      <c r="C19" s="632">
        <v>914312</v>
      </c>
      <c r="D19" s="632">
        <v>937866</v>
      </c>
      <c r="E19" s="632">
        <v>51477</v>
      </c>
      <c r="F19" s="632">
        <v>16888</v>
      </c>
      <c r="G19" s="632">
        <v>16</v>
      </c>
    </row>
    <row r="20" spans="1:12" ht="13.8">
      <c r="A20" s="635">
        <v>2022</v>
      </c>
      <c r="B20" s="639">
        <v>2073832</v>
      </c>
      <c r="C20" s="639">
        <v>1045260</v>
      </c>
      <c r="D20" s="639">
        <v>1028572</v>
      </c>
      <c r="E20" s="639">
        <v>55779</v>
      </c>
      <c r="F20" s="639">
        <v>19292</v>
      </c>
      <c r="G20" s="594">
        <v>17</v>
      </c>
    </row>
    <row r="21" spans="1:12" ht="13.8">
      <c r="A21" s="634">
        <v>2023</v>
      </c>
      <c r="B21" s="632">
        <v>1819880</v>
      </c>
      <c r="C21" s="632">
        <v>868272</v>
      </c>
      <c r="D21" s="632">
        <v>951608</v>
      </c>
      <c r="E21" s="632">
        <v>51034</v>
      </c>
      <c r="F21" s="632">
        <v>17651</v>
      </c>
      <c r="G21" s="632">
        <v>22</v>
      </c>
    </row>
    <row r="22" spans="1:12" ht="13.8">
      <c r="A22" s="635">
        <v>2024</v>
      </c>
      <c r="B22" s="639">
        <f>D22+C22</f>
        <v>1463360.7434999999</v>
      </c>
      <c r="C22" s="639">
        <v>613720.70900000003</v>
      </c>
      <c r="D22" s="639">
        <v>849640.03449999995</v>
      </c>
      <c r="E22" s="639">
        <v>40408</v>
      </c>
      <c r="F22" s="639">
        <v>14534</v>
      </c>
      <c r="G22" s="639">
        <v>15</v>
      </c>
      <c r="I22" s="857"/>
      <c r="J22" s="3"/>
      <c r="K22" s="3"/>
    </row>
    <row r="23" spans="1:12" s="4" customFormat="1" ht="13.8">
      <c r="A23" s="634">
        <v>2025</v>
      </c>
      <c r="B23" s="632">
        <v>973788.23699999996</v>
      </c>
      <c r="C23" s="632">
        <v>483161</v>
      </c>
      <c r="D23" s="632">
        <v>490626</v>
      </c>
      <c r="E23" s="632">
        <v>36038</v>
      </c>
      <c r="F23" s="632">
        <v>12514</v>
      </c>
      <c r="G23" s="632">
        <v>15</v>
      </c>
    </row>
    <row r="24" spans="1:12" s="4" customFormat="1">
      <c r="A24" s="587"/>
      <c r="B24" s="587"/>
      <c r="C24" s="587"/>
      <c r="D24" s="587"/>
      <c r="E24" s="587"/>
      <c r="F24" s="587"/>
      <c r="G24" s="587"/>
      <c r="H24" s="587"/>
      <c r="I24" s="587"/>
      <c r="J24" s="587"/>
    </row>
    <row r="25" spans="1:12" s="4" customFormat="1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2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30" spans="1:12">
      <c r="A30" t="s">
        <v>348</v>
      </c>
      <c r="B30" t="s">
        <v>94</v>
      </c>
      <c r="C30" t="s">
        <v>92</v>
      </c>
      <c r="D30" t="s">
        <v>377</v>
      </c>
    </row>
    <row r="31" spans="1:12">
      <c r="A31">
        <v>2011</v>
      </c>
      <c r="B31">
        <v>2150495</v>
      </c>
      <c r="C31">
        <v>1583820</v>
      </c>
      <c r="D31">
        <v>566675</v>
      </c>
      <c r="E31">
        <v>48214</v>
      </c>
      <c r="F31">
        <v>14852</v>
      </c>
    </row>
    <row r="32" spans="1:12">
      <c r="A32">
        <v>2012</v>
      </c>
      <c r="B32">
        <v>4421670</v>
      </c>
      <c r="C32">
        <v>3622022</v>
      </c>
      <c r="D32">
        <v>661140</v>
      </c>
      <c r="E32">
        <v>66391</v>
      </c>
      <c r="F32">
        <v>21828</v>
      </c>
      <c r="L32" s="8"/>
    </row>
    <row r="33" spans="1:6">
      <c r="A33">
        <v>2013</v>
      </c>
      <c r="B33">
        <v>7158371</v>
      </c>
      <c r="C33">
        <v>6603278</v>
      </c>
      <c r="D33">
        <v>555092</v>
      </c>
      <c r="E33">
        <v>61558</v>
      </c>
      <c r="F33">
        <v>15388</v>
      </c>
    </row>
    <row r="34" spans="1:6">
      <c r="A34">
        <v>2014</v>
      </c>
      <c r="B34">
        <v>3320102</v>
      </c>
      <c r="C34">
        <v>2873631</v>
      </c>
      <c r="D34">
        <v>446471</v>
      </c>
      <c r="E34">
        <v>36291</v>
      </c>
      <c r="F34">
        <v>11580</v>
      </c>
    </row>
    <row r="35" spans="1:6">
      <c r="A35">
        <v>2015</v>
      </c>
      <c r="B35">
        <v>1932360</v>
      </c>
      <c r="C35">
        <v>1231567</v>
      </c>
      <c r="D35">
        <v>700793</v>
      </c>
      <c r="E35">
        <v>36655</v>
      </c>
      <c r="F35">
        <v>10886</v>
      </c>
    </row>
    <row r="36" spans="1:6">
      <c r="A36">
        <v>2016</v>
      </c>
      <c r="B36">
        <v>1962888</v>
      </c>
      <c r="C36">
        <v>1297872</v>
      </c>
      <c r="D36" s="231">
        <v>659555</v>
      </c>
      <c r="E36" s="231">
        <v>37973</v>
      </c>
      <c r="F36">
        <v>9369</v>
      </c>
    </row>
    <row r="37" spans="1:6">
      <c r="A37">
        <v>2017</v>
      </c>
      <c r="B37">
        <v>1479021</v>
      </c>
      <c r="C37">
        <v>819485</v>
      </c>
      <c r="D37" s="231">
        <v>659555</v>
      </c>
      <c r="E37" s="231">
        <v>41885</v>
      </c>
      <c r="F37">
        <v>8836</v>
      </c>
    </row>
    <row r="38" spans="1:6">
      <c r="A38">
        <v>2018</v>
      </c>
      <c r="B38">
        <v>1398142</v>
      </c>
      <c r="C38">
        <v>901626</v>
      </c>
      <c r="D38" s="231">
        <v>496515</v>
      </c>
      <c r="E38" s="231">
        <v>36379</v>
      </c>
      <c r="F38">
        <v>7324</v>
      </c>
    </row>
    <row r="39" spans="1:6">
      <c r="A39">
        <v>2019</v>
      </c>
      <c r="B39">
        <v>1162220</v>
      </c>
      <c r="C39">
        <v>556023</v>
      </c>
      <c r="D39" s="231">
        <v>606196</v>
      </c>
      <c r="E39" s="231">
        <v>35966</v>
      </c>
      <c r="F39">
        <v>12038.66</v>
      </c>
    </row>
    <row r="40" spans="1:6">
      <c r="A40">
        <v>2020</v>
      </c>
      <c r="B40">
        <v>949191</v>
      </c>
      <c r="C40">
        <v>403887</v>
      </c>
      <c r="D40" s="231">
        <v>545304</v>
      </c>
      <c r="E40" s="231">
        <v>29355</v>
      </c>
      <c r="F40">
        <v>7959</v>
      </c>
    </row>
    <row r="41" spans="1:6">
      <c r="A41">
        <v>2021</v>
      </c>
      <c r="B41">
        <v>1852178</v>
      </c>
      <c r="C41">
        <v>914312</v>
      </c>
      <c r="D41" s="231">
        <v>937866</v>
      </c>
      <c r="E41" s="231">
        <v>51477</v>
      </c>
      <c r="F41">
        <v>16888</v>
      </c>
    </row>
    <row r="42" spans="1:6">
      <c r="A42">
        <v>2022</v>
      </c>
      <c r="B42">
        <v>2073832</v>
      </c>
      <c r="C42">
        <v>1045260</v>
      </c>
      <c r="D42" s="231">
        <v>1028572</v>
      </c>
      <c r="E42" s="231">
        <v>55779</v>
      </c>
      <c r="F42">
        <v>19292</v>
      </c>
    </row>
    <row r="43" spans="1:6">
      <c r="A43">
        <v>2023</v>
      </c>
      <c r="B43">
        <v>1819880</v>
      </c>
      <c r="C43">
        <v>868272</v>
      </c>
      <c r="D43" s="231">
        <v>951608</v>
      </c>
      <c r="E43" s="231">
        <v>51034</v>
      </c>
      <c r="F43">
        <v>17651</v>
      </c>
    </row>
    <row r="44" spans="1:6">
      <c r="A44">
        <v>2024</v>
      </c>
      <c r="B44">
        <v>1208819</v>
      </c>
      <c r="C44">
        <v>597189</v>
      </c>
      <c r="D44" s="231">
        <v>611630</v>
      </c>
      <c r="E44" s="231">
        <v>40408</v>
      </c>
      <c r="F44">
        <v>14534</v>
      </c>
    </row>
    <row r="45" spans="1:6">
      <c r="D45" s="231"/>
      <c r="E45" s="231"/>
    </row>
    <row r="46" spans="1:6">
      <c r="D46" s="231"/>
      <c r="E46" s="231"/>
    </row>
    <row r="57" s="45" customFormat="1"/>
  </sheetData>
  <mergeCells count="8">
    <mergeCell ref="A3:G3"/>
    <mergeCell ref="A4:G4"/>
    <mergeCell ref="B6:B7"/>
    <mergeCell ref="C6:C7"/>
    <mergeCell ref="D6:D7"/>
    <mergeCell ref="E6:E7"/>
    <mergeCell ref="F6:F7"/>
    <mergeCell ref="G6:G7"/>
  </mergeCells>
  <phoneticPr fontId="3" type="noConversion"/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17"/>
  <sheetViews>
    <sheetView rightToLeft="1" view="pageBreakPreview" zoomScale="60" zoomScaleNormal="100" workbookViewId="0">
      <selection activeCell="A3" sqref="A3:F4"/>
    </sheetView>
  </sheetViews>
  <sheetFormatPr defaultColWidth="9.109375" defaultRowHeight="13.2"/>
  <cols>
    <col min="1" max="1" width="14.44140625" style="587" customWidth="1"/>
    <col min="2" max="2" width="21.6640625" style="587" customWidth="1"/>
    <col min="3" max="3" width="15.88671875" style="587" customWidth="1"/>
    <col min="4" max="4" width="16.6640625" style="587" customWidth="1"/>
    <col min="5" max="5" width="13.5546875" style="587" customWidth="1"/>
    <col min="6" max="6" width="16.5546875" style="587" customWidth="1"/>
    <col min="7" max="7" width="9.109375" style="587"/>
    <col min="8" max="8" width="14.33203125" style="587" bestFit="1" customWidth="1"/>
    <col min="9" max="16384" width="9.109375" style="587"/>
  </cols>
  <sheetData>
    <row r="2" spans="1:8" ht="13.8">
      <c r="A2" s="893" t="s">
        <v>449</v>
      </c>
      <c r="B2" s="893"/>
      <c r="C2" s="893"/>
      <c r="D2" s="893"/>
      <c r="E2" s="893"/>
      <c r="F2" s="893"/>
    </row>
    <row r="3" spans="1:8">
      <c r="A3" s="911" t="s">
        <v>468</v>
      </c>
      <c r="B3" s="911"/>
      <c r="C3" s="911"/>
      <c r="D3" s="911"/>
      <c r="E3" s="911"/>
      <c r="F3" s="911"/>
    </row>
    <row r="4" spans="1:8">
      <c r="A4" s="911"/>
      <c r="B4" s="911"/>
      <c r="C4" s="911"/>
      <c r="D4" s="911"/>
      <c r="E4" s="911"/>
      <c r="F4" s="911"/>
    </row>
    <row r="5" spans="1:8" ht="13.8">
      <c r="A5" s="707"/>
      <c r="B5" s="707"/>
      <c r="C5" s="591"/>
      <c r="D5" s="707"/>
      <c r="E5" s="913" t="s">
        <v>361</v>
      </c>
      <c r="F5" s="913"/>
    </row>
    <row r="6" spans="1:8" ht="14.4" thickBot="1">
      <c r="A6" s="719" t="s">
        <v>393</v>
      </c>
      <c r="B6" s="718" t="s">
        <v>360</v>
      </c>
      <c r="C6" s="708"/>
      <c r="D6" s="897" t="s">
        <v>342</v>
      </c>
      <c r="E6" s="897"/>
      <c r="F6" s="708" t="s">
        <v>171</v>
      </c>
    </row>
    <row r="7" spans="1:8" ht="27.6">
      <c r="A7" s="709"/>
      <c r="B7" s="710" t="s">
        <v>108</v>
      </c>
      <c r="C7" s="711" t="s">
        <v>394</v>
      </c>
      <c r="D7" s="710" t="s">
        <v>78</v>
      </c>
      <c r="E7" s="710" t="s">
        <v>117</v>
      </c>
      <c r="F7" s="709"/>
    </row>
    <row r="8" spans="1:8" ht="13.8">
      <c r="A8" s="648"/>
      <c r="B8" s="567" t="s">
        <v>274</v>
      </c>
      <c r="C8" s="641"/>
      <c r="D8" s="567" t="s">
        <v>129</v>
      </c>
      <c r="E8" s="567" t="s">
        <v>126</v>
      </c>
      <c r="F8" s="648"/>
    </row>
    <row r="9" spans="1:8" ht="14.4" thickBot="1">
      <c r="A9" s="569" t="s">
        <v>51</v>
      </c>
      <c r="B9" s="569" t="s">
        <v>120</v>
      </c>
      <c r="C9" s="713"/>
      <c r="D9" s="569" t="s">
        <v>119</v>
      </c>
      <c r="E9" s="569"/>
      <c r="F9" s="713" t="s">
        <v>25</v>
      </c>
    </row>
    <row r="10" spans="1:8" s="609" customFormat="1" ht="16.8" thickTop="1" thickBot="1">
      <c r="A10" s="720" t="s">
        <v>6</v>
      </c>
      <c r="B10" s="721">
        <v>1</v>
      </c>
      <c r="C10" s="721">
        <v>0</v>
      </c>
      <c r="D10" s="722">
        <v>2961</v>
      </c>
      <c r="E10" s="722">
        <v>888444</v>
      </c>
      <c r="F10" s="720" t="s">
        <v>379</v>
      </c>
      <c r="H10" s="410"/>
    </row>
    <row r="11" spans="1:8" s="609" customFormat="1" ht="16.2" thickBot="1">
      <c r="A11" s="723" t="s">
        <v>0</v>
      </c>
      <c r="B11" s="724">
        <f>SUM(B10:B10)</f>
        <v>1</v>
      </c>
      <c r="C11" s="724">
        <f>SUM(C10:C10)</f>
        <v>0</v>
      </c>
      <c r="D11" s="724">
        <f>SUM(D10:D10)</f>
        <v>2961</v>
      </c>
      <c r="E11" s="724">
        <f>SUM(E10:E10)</f>
        <v>888444</v>
      </c>
      <c r="F11" s="725" t="s">
        <v>1</v>
      </c>
    </row>
    <row r="12" spans="1:8" ht="13.8" thickTop="1">
      <c r="A12" s="904" t="s">
        <v>450</v>
      </c>
      <c r="B12" s="904"/>
      <c r="C12" s="904"/>
      <c r="D12" s="904"/>
      <c r="E12" s="607"/>
    </row>
    <row r="17" spans="3:3">
      <c r="C17" s="597"/>
    </row>
  </sheetData>
  <mergeCells count="5">
    <mergeCell ref="A2:F2"/>
    <mergeCell ref="A3:F4"/>
    <mergeCell ref="E5:F5"/>
    <mergeCell ref="D6:E6"/>
    <mergeCell ref="A12:D12"/>
  </mergeCells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Z26"/>
  <sheetViews>
    <sheetView rightToLeft="1" view="pageBreakPreview" zoomScaleNormal="80" zoomScaleSheetLayoutView="100" workbookViewId="0">
      <selection activeCell="M7" sqref="M7"/>
    </sheetView>
  </sheetViews>
  <sheetFormatPr defaultColWidth="9.109375" defaultRowHeight="13.2"/>
  <cols>
    <col min="1" max="1" width="11.109375" style="587" customWidth="1"/>
    <col min="2" max="2" width="7.5546875" style="587" customWidth="1"/>
    <col min="3" max="4" width="8.88671875" style="587" customWidth="1"/>
    <col min="5" max="6" width="12.88671875" style="587" customWidth="1"/>
    <col min="7" max="7" width="13.33203125" style="587" customWidth="1"/>
    <col min="8" max="8" width="16.44140625" style="587" customWidth="1"/>
    <col min="9" max="9" width="16.21875" style="587" customWidth="1"/>
    <col min="10" max="10" width="15.6640625" style="587" customWidth="1"/>
    <col min="11" max="11" width="8.33203125" style="587" customWidth="1"/>
    <col min="12" max="12" width="15.6640625" style="587" bestFit="1" customWidth="1"/>
    <col min="13" max="13" width="15.44140625" style="587" bestFit="1" customWidth="1"/>
    <col min="14" max="16384" width="9.109375" style="587"/>
  </cols>
  <sheetData>
    <row r="1" spans="1:26" ht="30.75" customHeight="1">
      <c r="A1" s="893" t="s">
        <v>439</v>
      </c>
      <c r="B1" s="893"/>
      <c r="C1" s="893"/>
      <c r="D1" s="893"/>
      <c r="E1" s="893"/>
      <c r="F1" s="893"/>
      <c r="G1" s="893"/>
      <c r="H1" s="893"/>
      <c r="I1" s="893"/>
      <c r="J1" s="695"/>
    </row>
    <row r="2" spans="1:26" ht="15" customHeight="1">
      <c r="A2" s="896" t="s">
        <v>469</v>
      </c>
      <c r="B2" s="896"/>
      <c r="C2" s="896"/>
      <c r="D2" s="896"/>
      <c r="E2" s="896"/>
      <c r="F2" s="896"/>
      <c r="G2" s="896"/>
      <c r="H2" s="896"/>
      <c r="I2" s="896"/>
      <c r="J2" s="896"/>
    </row>
    <row r="3" spans="1:26" ht="15" customHeight="1">
      <c r="A3" s="896"/>
      <c r="B3" s="896"/>
      <c r="C3" s="896"/>
      <c r="D3" s="896"/>
      <c r="E3" s="896"/>
      <c r="F3" s="896"/>
      <c r="G3" s="896"/>
      <c r="H3" s="896"/>
      <c r="I3" s="896"/>
      <c r="J3" s="896"/>
    </row>
    <row r="4" spans="1:26" ht="15" customHeight="1">
      <c r="A4" s="568"/>
      <c r="B4" s="568"/>
      <c r="C4" s="568"/>
      <c r="D4" s="568"/>
      <c r="E4" s="568"/>
      <c r="F4" s="568"/>
      <c r="G4" s="568"/>
      <c r="H4" s="568"/>
      <c r="I4" s="568"/>
      <c r="J4" s="620" t="s">
        <v>361</v>
      </c>
      <c r="K4" s="620"/>
    </row>
    <row r="5" spans="1:26" ht="18.75" customHeight="1" thickBot="1">
      <c r="A5" s="726" t="s">
        <v>395</v>
      </c>
      <c r="B5" s="917" t="s">
        <v>137</v>
      </c>
      <c r="C5" s="917"/>
      <c r="D5" s="559"/>
      <c r="E5" s="559"/>
      <c r="F5" s="559"/>
      <c r="G5" s="727"/>
      <c r="H5" s="915" t="s">
        <v>141</v>
      </c>
      <c r="I5" s="915"/>
      <c r="J5" s="728" t="s">
        <v>343</v>
      </c>
    </row>
    <row r="6" spans="1:26" ht="33.75" customHeight="1">
      <c r="A6" s="688"/>
      <c r="B6" s="643" t="s">
        <v>101</v>
      </c>
      <c r="C6" s="643" t="s">
        <v>330</v>
      </c>
      <c r="D6" s="643" t="s">
        <v>331</v>
      </c>
      <c r="E6" s="643" t="s">
        <v>332</v>
      </c>
      <c r="F6" s="582" t="s">
        <v>336</v>
      </c>
      <c r="G6" s="582" t="s">
        <v>109</v>
      </c>
      <c r="H6" s="582" t="s">
        <v>110</v>
      </c>
      <c r="I6" s="582" t="s">
        <v>113</v>
      </c>
      <c r="J6" s="729"/>
    </row>
    <row r="7" spans="1:26" ht="30.75" customHeight="1">
      <c r="A7" s="648"/>
      <c r="B7" s="567" t="s">
        <v>133</v>
      </c>
      <c r="C7" s="567" t="s">
        <v>333</v>
      </c>
      <c r="D7" s="567" t="s">
        <v>334</v>
      </c>
      <c r="E7" s="567" t="s">
        <v>335</v>
      </c>
      <c r="F7" s="642" t="s">
        <v>338</v>
      </c>
      <c r="G7" s="567" t="s">
        <v>130</v>
      </c>
      <c r="H7" s="567" t="s">
        <v>129</v>
      </c>
      <c r="I7" s="567" t="s">
        <v>134</v>
      </c>
      <c r="J7" s="648"/>
    </row>
    <row r="8" spans="1:26" ht="17.25" customHeight="1" thickBot="1">
      <c r="A8" s="569" t="s">
        <v>77</v>
      </c>
      <c r="B8" s="569" t="s">
        <v>120</v>
      </c>
      <c r="C8" s="569"/>
      <c r="D8" s="569"/>
      <c r="E8" s="569"/>
      <c r="F8" s="730" t="s">
        <v>337</v>
      </c>
      <c r="G8" s="569" t="s">
        <v>119</v>
      </c>
      <c r="H8" s="569" t="s">
        <v>119</v>
      </c>
      <c r="I8" s="569"/>
      <c r="J8" s="713" t="s">
        <v>25</v>
      </c>
    </row>
    <row r="9" spans="1:26" s="609" customFormat="1" ht="17.25" customHeight="1" thickTop="1">
      <c r="A9" s="731" t="s">
        <v>328</v>
      </c>
      <c r="B9" s="575">
        <v>1</v>
      </c>
      <c r="C9" s="575">
        <v>0</v>
      </c>
      <c r="D9" s="575">
        <v>0</v>
      </c>
      <c r="E9" s="575">
        <v>1</v>
      </c>
      <c r="F9" s="575">
        <v>1</v>
      </c>
      <c r="G9" s="645">
        <v>1529</v>
      </c>
      <c r="H9" s="645">
        <v>15628</v>
      </c>
      <c r="I9" s="645">
        <v>855717.5</v>
      </c>
      <c r="J9" s="645" t="s">
        <v>378</v>
      </c>
      <c r="L9" s="644"/>
    </row>
    <row r="10" spans="1:26" s="609" customFormat="1" ht="15.75" customHeight="1">
      <c r="A10" s="732" t="s">
        <v>3</v>
      </c>
      <c r="B10" s="579">
        <v>1</v>
      </c>
      <c r="C10" s="579">
        <v>0</v>
      </c>
      <c r="D10" s="579">
        <v>0</v>
      </c>
      <c r="E10" s="579">
        <v>0</v>
      </c>
      <c r="F10" s="579">
        <v>1</v>
      </c>
      <c r="G10" s="577">
        <v>460</v>
      </c>
      <c r="H10" s="577">
        <v>178</v>
      </c>
      <c r="I10" s="577">
        <v>76140</v>
      </c>
      <c r="J10" s="640" t="s">
        <v>15</v>
      </c>
      <c r="L10" s="644"/>
    </row>
    <row r="11" spans="1:26" s="609" customFormat="1" ht="15.75" customHeight="1">
      <c r="A11" s="731" t="s">
        <v>319</v>
      </c>
      <c r="B11" s="733">
        <v>1</v>
      </c>
      <c r="C11" s="733">
        <v>0</v>
      </c>
      <c r="D11" s="733">
        <v>0</v>
      </c>
      <c r="E11" s="733">
        <v>0</v>
      </c>
      <c r="F11" s="733">
        <v>1</v>
      </c>
      <c r="G11" s="574">
        <v>246</v>
      </c>
      <c r="H11" s="574">
        <v>810</v>
      </c>
      <c r="I11" s="574">
        <v>277120</v>
      </c>
      <c r="J11" s="645" t="s">
        <v>315</v>
      </c>
      <c r="L11" s="734"/>
      <c r="N11" s="598"/>
    </row>
    <row r="12" spans="1:26" s="609" customFormat="1" ht="15.75" customHeight="1">
      <c r="A12" s="732" t="s">
        <v>4</v>
      </c>
      <c r="B12" s="579">
        <v>4</v>
      </c>
      <c r="C12" s="579">
        <v>1</v>
      </c>
      <c r="D12" s="579">
        <v>0</v>
      </c>
      <c r="E12" s="579">
        <v>0</v>
      </c>
      <c r="F12" s="579">
        <v>9</v>
      </c>
      <c r="G12" s="577">
        <v>11315</v>
      </c>
      <c r="H12" s="577">
        <v>41131</v>
      </c>
      <c r="I12" s="577">
        <v>18176170</v>
      </c>
      <c r="J12" s="640" t="s">
        <v>16</v>
      </c>
      <c r="L12" s="593"/>
      <c r="N12" s="587"/>
    </row>
    <row r="13" spans="1:26" s="609" customFormat="1" ht="14.1" customHeight="1">
      <c r="A13" s="731" t="s">
        <v>5</v>
      </c>
      <c r="B13" s="575">
        <v>1</v>
      </c>
      <c r="C13" s="575">
        <v>0</v>
      </c>
      <c r="D13" s="575">
        <v>0</v>
      </c>
      <c r="E13" s="575">
        <v>0</v>
      </c>
      <c r="F13" s="575">
        <v>0</v>
      </c>
      <c r="G13" s="573">
        <v>8777</v>
      </c>
      <c r="H13" s="573">
        <v>2502</v>
      </c>
      <c r="I13" s="573">
        <v>1222155</v>
      </c>
      <c r="J13" s="645" t="s">
        <v>23</v>
      </c>
      <c r="L13" s="593"/>
      <c r="N13" s="587"/>
    </row>
    <row r="14" spans="1:26" s="609" customFormat="1" ht="17.25" customHeight="1">
      <c r="A14" s="732" t="s">
        <v>11</v>
      </c>
      <c r="B14" s="579">
        <v>1</v>
      </c>
      <c r="C14" s="579">
        <v>0</v>
      </c>
      <c r="D14" s="579">
        <v>0</v>
      </c>
      <c r="E14" s="579">
        <v>0</v>
      </c>
      <c r="F14" s="579">
        <v>0</v>
      </c>
      <c r="G14" s="577">
        <v>148</v>
      </c>
      <c r="H14" s="577">
        <v>381</v>
      </c>
      <c r="I14" s="577">
        <v>186702</v>
      </c>
      <c r="J14" s="640" t="s">
        <v>21</v>
      </c>
      <c r="L14" s="593"/>
      <c r="N14" s="587"/>
    </row>
    <row r="15" spans="1:26" s="609" customFormat="1" ht="14.1" customHeight="1">
      <c r="A15" s="731" t="s">
        <v>2</v>
      </c>
      <c r="B15" s="575">
        <v>1</v>
      </c>
      <c r="C15" s="575">
        <v>0</v>
      </c>
      <c r="D15" s="575">
        <v>0</v>
      </c>
      <c r="E15" s="575">
        <v>0</v>
      </c>
      <c r="F15" s="575">
        <v>1</v>
      </c>
      <c r="G15" s="573">
        <v>3351</v>
      </c>
      <c r="H15" s="573">
        <v>1056</v>
      </c>
      <c r="I15" s="573">
        <v>37820</v>
      </c>
      <c r="J15" s="645" t="s">
        <v>14</v>
      </c>
      <c r="L15" s="593"/>
      <c r="N15" s="587"/>
      <c r="P15" s="609">
        <f>3742*81/100</f>
        <v>3031.02</v>
      </c>
    </row>
    <row r="16" spans="1:26" s="830" customFormat="1" ht="14.1" customHeight="1">
      <c r="A16" s="732" t="s">
        <v>7</v>
      </c>
      <c r="B16" s="579">
        <v>8</v>
      </c>
      <c r="C16" s="579">
        <v>0</v>
      </c>
      <c r="D16" s="579">
        <v>0</v>
      </c>
      <c r="E16" s="579">
        <v>0</v>
      </c>
      <c r="F16" s="579">
        <v>0</v>
      </c>
      <c r="G16" s="577">
        <v>303102</v>
      </c>
      <c r="H16" s="577">
        <v>1475</v>
      </c>
      <c r="I16" s="577">
        <v>636271.19999999995</v>
      </c>
      <c r="J16" s="640" t="s">
        <v>436</v>
      </c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</row>
    <row r="17" spans="1:26" s="609" customFormat="1" ht="14.1" customHeight="1">
      <c r="A17" s="731" t="s">
        <v>9</v>
      </c>
      <c r="B17" s="575">
        <v>1</v>
      </c>
      <c r="C17" s="575">
        <v>0</v>
      </c>
      <c r="D17" s="575">
        <v>0</v>
      </c>
      <c r="E17" s="575">
        <v>0</v>
      </c>
      <c r="F17" s="575">
        <v>0</v>
      </c>
      <c r="G17" s="573">
        <v>35</v>
      </c>
      <c r="H17" s="573">
        <v>12</v>
      </c>
      <c r="I17" s="573">
        <v>4410</v>
      </c>
      <c r="J17" s="645" t="s">
        <v>19</v>
      </c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</row>
    <row r="18" spans="1:26" s="830" customFormat="1" ht="14.1" customHeight="1">
      <c r="A18" s="732" t="s">
        <v>10</v>
      </c>
      <c r="B18" s="579">
        <v>1</v>
      </c>
      <c r="C18" s="579">
        <v>0</v>
      </c>
      <c r="D18" s="579">
        <v>0</v>
      </c>
      <c r="E18" s="579">
        <v>0</v>
      </c>
      <c r="F18" s="579">
        <v>0</v>
      </c>
      <c r="G18" s="577">
        <v>109.15</v>
      </c>
      <c r="H18" s="577">
        <v>132</v>
      </c>
      <c r="I18" s="577">
        <v>39886</v>
      </c>
      <c r="J18" s="640" t="s">
        <v>20</v>
      </c>
      <c r="K18" s="587"/>
      <c r="L18" s="587"/>
      <c r="M18" s="587"/>
      <c r="N18" s="587">
        <f>358*37/100</f>
        <v>132.46</v>
      </c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</row>
    <row r="19" spans="1:26" s="598" customFormat="1" ht="14.1" customHeight="1">
      <c r="A19" s="832" t="s">
        <v>12</v>
      </c>
      <c r="B19" s="829">
        <v>1</v>
      </c>
      <c r="C19" s="829">
        <v>0</v>
      </c>
      <c r="D19" s="829">
        <v>0</v>
      </c>
      <c r="E19" s="829">
        <v>0</v>
      </c>
      <c r="F19" s="829">
        <v>0</v>
      </c>
      <c r="G19" s="828">
        <v>127</v>
      </c>
      <c r="H19" s="828">
        <v>1287</v>
      </c>
      <c r="I19" s="828">
        <v>514824</v>
      </c>
      <c r="J19" s="833" t="s">
        <v>24</v>
      </c>
      <c r="K19" s="587"/>
      <c r="L19" s="587"/>
      <c r="M19" s="587"/>
      <c r="N19" s="587"/>
      <c r="O19" s="587">
        <f>295*37/100</f>
        <v>109.15</v>
      </c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</row>
    <row r="20" spans="1:26" s="830" customFormat="1" ht="14.1" customHeight="1" thickBot="1">
      <c r="A20" s="732" t="s">
        <v>13</v>
      </c>
      <c r="B20" s="579">
        <v>1</v>
      </c>
      <c r="C20" s="579">
        <v>0</v>
      </c>
      <c r="D20" s="579">
        <v>0</v>
      </c>
      <c r="E20" s="579">
        <v>0</v>
      </c>
      <c r="F20" s="579">
        <v>1</v>
      </c>
      <c r="G20" s="577">
        <v>208</v>
      </c>
      <c r="H20" s="577">
        <v>3017</v>
      </c>
      <c r="I20" s="577">
        <v>1424891</v>
      </c>
      <c r="J20" s="640" t="s">
        <v>437</v>
      </c>
      <c r="K20" s="609"/>
      <c r="L20" s="609"/>
      <c r="M20" s="609"/>
      <c r="N20" s="609"/>
      <c r="O20" s="609"/>
      <c r="P20" s="609"/>
      <c r="Q20" s="609"/>
      <c r="R20" s="609"/>
      <c r="S20" s="609"/>
      <c r="T20" s="609"/>
      <c r="U20" s="609"/>
      <c r="V20" s="609"/>
      <c r="W20" s="609"/>
      <c r="X20" s="609"/>
      <c r="Y20" s="609"/>
      <c r="Z20" s="609"/>
    </row>
    <row r="21" spans="1:26" s="598" customFormat="1" ht="18" customHeight="1" thickBot="1">
      <c r="A21" s="735" t="s">
        <v>0</v>
      </c>
      <c r="B21" s="736">
        <f t="shared" ref="B21:I21" si="0">SUM(B9:B20)</f>
        <v>22</v>
      </c>
      <c r="C21" s="736">
        <f t="shared" si="0"/>
        <v>1</v>
      </c>
      <c r="D21" s="736">
        <f t="shared" si="0"/>
        <v>0</v>
      </c>
      <c r="E21" s="736">
        <f t="shared" si="0"/>
        <v>1</v>
      </c>
      <c r="F21" s="736">
        <f t="shared" si="0"/>
        <v>14</v>
      </c>
      <c r="G21" s="737">
        <f t="shared" si="0"/>
        <v>329407.15000000002</v>
      </c>
      <c r="H21" s="737">
        <f t="shared" si="0"/>
        <v>67609</v>
      </c>
      <c r="I21" s="737">
        <f t="shared" si="0"/>
        <v>23452106.699999999</v>
      </c>
      <c r="J21" s="736" t="s">
        <v>1</v>
      </c>
      <c r="K21" s="609"/>
      <c r="L21" s="609"/>
      <c r="M21" s="609"/>
      <c r="N21" s="609"/>
      <c r="O21" s="609"/>
      <c r="P21" s="609"/>
      <c r="Q21" s="609"/>
      <c r="R21" s="609"/>
      <c r="S21" s="609"/>
      <c r="T21" s="609"/>
      <c r="U21" s="609"/>
      <c r="V21" s="609"/>
      <c r="W21" s="609"/>
      <c r="X21" s="609"/>
      <c r="Y21" s="609"/>
      <c r="Z21" s="609"/>
    </row>
    <row r="22" spans="1:26" ht="18" customHeight="1" thickTop="1">
      <c r="A22" s="916" t="s">
        <v>438</v>
      </c>
      <c r="B22" s="916"/>
      <c r="C22" s="916"/>
      <c r="D22" s="916"/>
      <c r="E22" s="916"/>
      <c r="F22" s="916"/>
      <c r="G22" s="916"/>
      <c r="H22" s="916"/>
      <c r="I22" s="916"/>
      <c r="K22" s="598"/>
      <c r="L22" s="609"/>
      <c r="M22" s="609"/>
      <c r="N22" s="609"/>
      <c r="O22" s="598"/>
      <c r="P22" s="609"/>
      <c r="Q22" s="609"/>
      <c r="R22" s="609"/>
      <c r="S22" s="598"/>
      <c r="T22" s="609"/>
      <c r="U22" s="609"/>
      <c r="V22" s="609"/>
      <c r="W22" s="598"/>
      <c r="X22" s="609"/>
      <c r="Y22" s="609"/>
      <c r="Z22" s="609"/>
    </row>
    <row r="23" spans="1:26">
      <c r="A23" s="914"/>
      <c r="B23" s="914"/>
      <c r="C23" s="914"/>
      <c r="D23" s="914"/>
      <c r="E23" s="914"/>
      <c r="F23" s="914"/>
      <c r="G23" s="914"/>
      <c r="H23" s="914"/>
      <c r="I23" s="914"/>
    </row>
    <row r="24" spans="1:26">
      <c r="A24" s="914"/>
      <c r="B24" s="914"/>
      <c r="C24" s="914"/>
      <c r="D24" s="914"/>
      <c r="E24" s="914"/>
      <c r="F24" s="914"/>
      <c r="G24" s="914"/>
      <c r="H24" s="914"/>
    </row>
    <row r="25" spans="1:26" ht="13.8">
      <c r="J25" s="613"/>
    </row>
    <row r="26" spans="1:26">
      <c r="F26" s="593"/>
    </row>
  </sheetData>
  <mergeCells count="7">
    <mergeCell ref="A24:H24"/>
    <mergeCell ref="A1:I1"/>
    <mergeCell ref="H5:I5"/>
    <mergeCell ref="A2:J3"/>
    <mergeCell ref="A23:I23"/>
    <mergeCell ref="A22:I22"/>
    <mergeCell ref="B5:C5"/>
  </mergeCells>
  <phoneticPr fontId="3" type="noConversion"/>
  <printOptions horizontalCentered="1" verticalCentered="1"/>
  <pageMargins left="0.2" right="0.85" top="1.3779527559055118" bottom="1.8110236220472442" header="0.19685039370078741" footer="0.78740157480314965"/>
  <pageSetup paperSize="9" scale="9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92D050"/>
  </sheetPr>
  <dimension ref="A1:M15"/>
  <sheetViews>
    <sheetView rightToLeft="1" view="pageBreakPreview" zoomScaleNormal="100" zoomScaleSheetLayoutView="100" workbookViewId="0">
      <selection activeCell="C4" sqref="C4"/>
    </sheetView>
  </sheetViews>
  <sheetFormatPr defaultColWidth="9.109375" defaultRowHeight="13.2"/>
  <cols>
    <col min="1" max="1" width="11.109375" style="587" customWidth="1"/>
    <col min="2" max="2" width="11.6640625" style="587" customWidth="1"/>
    <col min="3" max="3" width="7.88671875" style="587" bestFit="1" customWidth="1"/>
    <col min="4" max="4" width="13.44140625" style="587" bestFit="1" customWidth="1"/>
    <col min="5" max="5" width="10.109375" style="587" bestFit="1" customWidth="1"/>
    <col min="6" max="6" width="18.44140625" style="587" bestFit="1" customWidth="1"/>
    <col min="7" max="7" width="11.88671875" style="587" customWidth="1"/>
    <col min="8" max="8" width="14.5546875" style="587" customWidth="1"/>
    <col min="9" max="9" width="18.88671875" style="587" customWidth="1"/>
    <col min="10" max="10" width="9.109375" style="587"/>
    <col min="11" max="11" width="13.109375" style="587" bestFit="1" customWidth="1"/>
    <col min="12" max="16384" width="9.109375" style="587"/>
  </cols>
  <sheetData>
    <row r="1" spans="1:13" ht="15" customHeight="1">
      <c r="A1" s="918" t="s">
        <v>440</v>
      </c>
      <c r="B1" s="918"/>
      <c r="C1" s="918"/>
      <c r="D1" s="918"/>
      <c r="E1" s="918"/>
      <c r="F1" s="918"/>
      <c r="G1" s="918"/>
      <c r="H1" s="918"/>
      <c r="I1" s="694"/>
    </row>
    <row r="2" spans="1:13" ht="15" customHeight="1">
      <c r="A2" s="919" t="s">
        <v>470</v>
      </c>
      <c r="B2" s="919"/>
      <c r="C2" s="919"/>
      <c r="D2" s="919"/>
      <c r="E2" s="919"/>
      <c r="F2" s="919"/>
      <c r="G2" s="919"/>
      <c r="H2" s="919"/>
      <c r="I2" s="919"/>
    </row>
    <row r="3" spans="1:13" ht="15" customHeight="1">
      <c r="A3" s="919"/>
      <c r="B3" s="919"/>
      <c r="C3" s="919"/>
      <c r="D3" s="919"/>
      <c r="E3" s="919"/>
      <c r="F3" s="919"/>
      <c r="G3" s="919"/>
      <c r="H3" s="919"/>
      <c r="I3" s="919"/>
    </row>
    <row r="4" spans="1:13" ht="15" customHeight="1">
      <c r="A4" s="565"/>
      <c r="B4" s="565"/>
      <c r="C4" s="565"/>
      <c r="D4" s="565"/>
      <c r="E4" s="565"/>
      <c r="F4" s="565"/>
      <c r="G4" s="565"/>
      <c r="H4" s="565"/>
      <c r="I4" s="861" t="s">
        <v>193</v>
      </c>
    </row>
    <row r="5" spans="1:13" ht="15" customHeight="1" thickBot="1">
      <c r="A5" s="862" t="s">
        <v>396</v>
      </c>
      <c r="B5" s="863" t="s">
        <v>360</v>
      </c>
      <c r="C5" s="779"/>
      <c r="D5" s="779"/>
      <c r="E5" s="779"/>
      <c r="F5" s="779"/>
      <c r="G5" s="920" t="s">
        <v>342</v>
      </c>
      <c r="H5" s="920"/>
      <c r="I5" s="862" t="s">
        <v>111</v>
      </c>
    </row>
    <row r="6" spans="1:13" ht="37.5" customHeight="1">
      <c r="A6" s="689"/>
      <c r="B6" s="858" t="s">
        <v>101</v>
      </c>
      <c r="C6" s="858" t="s">
        <v>330</v>
      </c>
      <c r="D6" s="858" t="s">
        <v>331</v>
      </c>
      <c r="E6" s="858" t="s">
        <v>332</v>
      </c>
      <c r="F6" s="858" t="s">
        <v>336</v>
      </c>
      <c r="G6" s="858" t="s">
        <v>110</v>
      </c>
      <c r="H6" s="858" t="s">
        <v>113</v>
      </c>
      <c r="I6" s="864"/>
    </row>
    <row r="7" spans="1:13" ht="27.75" customHeight="1">
      <c r="A7" s="691"/>
      <c r="B7" s="567" t="s">
        <v>133</v>
      </c>
      <c r="C7" s="567" t="s">
        <v>333</v>
      </c>
      <c r="D7" s="567" t="s">
        <v>334</v>
      </c>
      <c r="E7" s="567" t="s">
        <v>335</v>
      </c>
      <c r="F7" s="567" t="s">
        <v>338</v>
      </c>
      <c r="G7" s="567" t="s">
        <v>129</v>
      </c>
      <c r="H7" s="567" t="s">
        <v>134</v>
      </c>
      <c r="I7" s="691"/>
    </row>
    <row r="8" spans="1:13" ht="15" customHeight="1" thickBot="1">
      <c r="A8" s="859" t="s">
        <v>77</v>
      </c>
      <c r="B8" s="859" t="s">
        <v>120</v>
      </c>
      <c r="C8" s="859"/>
      <c r="D8" s="859"/>
      <c r="E8" s="859"/>
      <c r="F8" s="859" t="s">
        <v>337</v>
      </c>
      <c r="G8" s="859" t="s">
        <v>119</v>
      </c>
      <c r="H8" s="859"/>
      <c r="I8" s="859" t="s">
        <v>25</v>
      </c>
    </row>
    <row r="9" spans="1:13" s="609" customFormat="1" ht="16.5" customHeight="1" thickTop="1">
      <c r="A9" s="783" t="s">
        <v>328</v>
      </c>
      <c r="B9" s="576">
        <v>1</v>
      </c>
      <c r="C9" s="576">
        <v>0</v>
      </c>
      <c r="D9" s="576">
        <v>0</v>
      </c>
      <c r="E9" s="576">
        <v>0</v>
      </c>
      <c r="F9" s="576">
        <v>0</v>
      </c>
      <c r="G9" s="858">
        <v>18.489999999999998</v>
      </c>
      <c r="H9" s="865">
        <v>10535</v>
      </c>
      <c r="I9" s="866" t="s">
        <v>378</v>
      </c>
    </row>
    <row r="10" spans="1:13" s="609" customFormat="1" ht="16.5" customHeight="1">
      <c r="A10" s="782" t="s">
        <v>319</v>
      </c>
      <c r="B10" s="572">
        <v>1</v>
      </c>
      <c r="C10" s="572">
        <v>0</v>
      </c>
      <c r="D10" s="572">
        <v>0</v>
      </c>
      <c r="E10" s="572">
        <v>0</v>
      </c>
      <c r="F10" s="572">
        <v>0</v>
      </c>
      <c r="G10" s="580">
        <v>20</v>
      </c>
      <c r="H10" s="867">
        <v>1500</v>
      </c>
      <c r="I10" s="868" t="s">
        <v>315</v>
      </c>
    </row>
    <row r="11" spans="1:13" s="830" customFormat="1" ht="16.5" customHeight="1">
      <c r="A11" s="783" t="s">
        <v>5</v>
      </c>
      <c r="B11" s="576">
        <v>1</v>
      </c>
      <c r="C11" s="576">
        <v>0</v>
      </c>
      <c r="D11" s="576">
        <v>0</v>
      </c>
      <c r="E11" s="576">
        <v>0</v>
      </c>
      <c r="F11" s="576">
        <v>0</v>
      </c>
      <c r="G11" s="858">
        <v>20</v>
      </c>
      <c r="H11" s="865">
        <v>3300</v>
      </c>
      <c r="I11" s="866" t="s">
        <v>23</v>
      </c>
      <c r="J11" s="609"/>
      <c r="K11" s="609"/>
      <c r="L11" s="609"/>
      <c r="M11" s="609"/>
    </row>
    <row r="12" spans="1:13" s="598" customFormat="1" ht="16.5" customHeight="1">
      <c r="A12" s="869" t="s">
        <v>10</v>
      </c>
      <c r="B12" s="827">
        <v>0</v>
      </c>
      <c r="C12" s="827">
        <v>1</v>
      </c>
      <c r="D12" s="827">
        <v>0</v>
      </c>
      <c r="E12" s="827">
        <v>0</v>
      </c>
      <c r="F12" s="827">
        <v>0</v>
      </c>
      <c r="G12" s="860">
        <v>115</v>
      </c>
      <c r="H12" s="870">
        <v>40425</v>
      </c>
      <c r="I12" s="871" t="s">
        <v>20</v>
      </c>
    </row>
    <row r="13" spans="1:13" s="830" customFormat="1" ht="16.2" thickBot="1">
      <c r="A13" s="783" t="s">
        <v>13</v>
      </c>
      <c r="B13" s="576">
        <v>0</v>
      </c>
      <c r="C13" s="576">
        <v>0</v>
      </c>
      <c r="D13" s="576">
        <v>0</v>
      </c>
      <c r="E13" s="576">
        <v>0</v>
      </c>
      <c r="F13" s="576">
        <v>1</v>
      </c>
      <c r="G13" s="866">
        <v>75</v>
      </c>
      <c r="H13" s="865">
        <v>124750</v>
      </c>
      <c r="I13" s="783" t="s">
        <v>22</v>
      </c>
      <c r="J13" s="609"/>
      <c r="K13" s="609"/>
      <c r="L13" s="609"/>
      <c r="M13" s="609"/>
    </row>
    <row r="14" spans="1:13" ht="16.2" thickBot="1">
      <c r="A14" s="740" t="s">
        <v>0</v>
      </c>
      <c r="B14" s="872">
        <f>SUM(B9:B13)</f>
        <v>3</v>
      </c>
      <c r="C14" s="872">
        <f t="shared" ref="C14:H14" si="0">SUM(C9:C13)</f>
        <v>1</v>
      </c>
      <c r="D14" s="872">
        <f t="shared" si="0"/>
        <v>0</v>
      </c>
      <c r="E14" s="872">
        <f t="shared" si="0"/>
        <v>0</v>
      </c>
      <c r="F14" s="872">
        <f t="shared" si="0"/>
        <v>1</v>
      </c>
      <c r="G14" s="872">
        <f t="shared" si="0"/>
        <v>248.49</v>
      </c>
      <c r="H14" s="873">
        <f t="shared" si="0"/>
        <v>180510</v>
      </c>
      <c r="I14" s="872" t="s">
        <v>1</v>
      </c>
    </row>
    <row r="15" spans="1:13" ht="13.8" thickTop="1">
      <c r="A15" s="904" t="s">
        <v>441</v>
      </c>
      <c r="B15" s="904"/>
      <c r="C15" s="904"/>
      <c r="D15" s="904"/>
      <c r="E15" s="904"/>
      <c r="F15" s="874"/>
      <c r="G15" s="874"/>
      <c r="H15" s="874"/>
      <c r="I15" s="874"/>
    </row>
  </sheetData>
  <mergeCells count="4">
    <mergeCell ref="A1:H1"/>
    <mergeCell ref="A2:I3"/>
    <mergeCell ref="G5:H5"/>
    <mergeCell ref="A15:E15"/>
  </mergeCells>
  <phoneticPr fontId="3" type="noConversion"/>
  <printOptions horizontalCentered="1" verticalCentered="1"/>
  <pageMargins left="0.23622047244094491" right="1.19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L26"/>
  <sheetViews>
    <sheetView rightToLeft="1" view="pageBreakPreview" topLeftCell="B1" zoomScaleNormal="90" zoomScaleSheetLayoutView="100" zoomScalePageLayoutView="90" workbookViewId="0">
      <selection activeCell="B2" sqref="B2:I3"/>
    </sheetView>
  </sheetViews>
  <sheetFormatPr defaultColWidth="9.109375" defaultRowHeight="13.2"/>
  <cols>
    <col min="1" max="1" width="1" style="587" hidden="1" customWidth="1"/>
    <col min="2" max="3" width="14.33203125" style="587" customWidth="1"/>
    <col min="4" max="5" width="13.6640625" style="587" customWidth="1"/>
    <col min="6" max="6" width="14" style="587" customWidth="1"/>
    <col min="7" max="7" width="16.33203125" style="587" customWidth="1"/>
    <col min="8" max="8" width="17.6640625" style="587" customWidth="1"/>
    <col min="9" max="9" width="18.88671875" style="587" customWidth="1"/>
    <col min="10" max="10" width="9.109375" style="587"/>
    <col min="11" max="11" width="15.44140625" style="587" bestFit="1" customWidth="1"/>
    <col min="12" max="12" width="12.6640625" style="587" bestFit="1" customWidth="1"/>
    <col min="13" max="16384" width="9.109375" style="587"/>
  </cols>
  <sheetData>
    <row r="1" spans="1:12" ht="15" customHeight="1">
      <c r="A1" s="741"/>
      <c r="B1" s="923" t="s">
        <v>442</v>
      </c>
      <c r="C1" s="923"/>
      <c r="D1" s="923"/>
      <c r="E1" s="923"/>
      <c r="F1" s="923"/>
      <c r="G1" s="923"/>
      <c r="H1" s="923"/>
      <c r="I1" s="742"/>
    </row>
    <row r="2" spans="1:12" ht="17.25" customHeight="1">
      <c r="A2" s="741"/>
      <c r="B2" s="921" t="s">
        <v>471</v>
      </c>
      <c r="C2" s="921"/>
      <c r="D2" s="921"/>
      <c r="E2" s="921"/>
      <c r="F2" s="921"/>
      <c r="G2" s="921"/>
      <c r="H2" s="921"/>
      <c r="I2" s="921"/>
    </row>
    <row r="3" spans="1:12" ht="11.25" customHeight="1">
      <c r="A3" s="741"/>
      <c r="B3" s="921"/>
      <c r="C3" s="921"/>
      <c r="D3" s="921"/>
      <c r="E3" s="921"/>
      <c r="F3" s="921"/>
      <c r="G3" s="921"/>
      <c r="H3" s="921"/>
      <c r="I3" s="921"/>
    </row>
    <row r="4" spans="1:12" ht="11.25" customHeight="1">
      <c r="A4" s="741"/>
      <c r="B4" s="743"/>
      <c r="C4" s="743"/>
      <c r="D4" s="743"/>
      <c r="E4" s="743"/>
      <c r="F4" s="743"/>
      <c r="G4" s="743"/>
      <c r="H4" s="743"/>
      <c r="I4" s="924" t="s">
        <v>361</v>
      </c>
    </row>
    <row r="5" spans="1:12" ht="11.25" customHeight="1">
      <c r="A5" s="741"/>
      <c r="B5" s="743"/>
      <c r="C5" s="743"/>
      <c r="D5" s="743"/>
      <c r="E5" s="743"/>
      <c r="F5" s="743"/>
      <c r="G5" s="743"/>
      <c r="H5" s="743"/>
      <c r="I5" s="924"/>
    </row>
    <row r="6" spans="1:12" ht="27" customHeight="1" thickBot="1">
      <c r="A6" s="741"/>
      <c r="B6" s="769" t="s">
        <v>398</v>
      </c>
      <c r="C6" s="744" t="s">
        <v>137</v>
      </c>
      <c r="D6" s="744"/>
      <c r="E6" s="744"/>
      <c r="F6" s="744"/>
      <c r="G6" s="922" t="s">
        <v>140</v>
      </c>
      <c r="H6" s="922"/>
      <c r="I6" s="744" t="s">
        <v>397</v>
      </c>
    </row>
    <row r="7" spans="1:12" ht="31.5" customHeight="1">
      <c r="A7" s="741"/>
      <c r="B7" s="745"/>
      <c r="C7" s="745" t="s">
        <v>362</v>
      </c>
      <c r="D7" s="745" t="s">
        <v>339</v>
      </c>
      <c r="E7" s="745" t="s">
        <v>363</v>
      </c>
      <c r="F7" s="746" t="s">
        <v>180</v>
      </c>
      <c r="G7" s="745" t="s">
        <v>78</v>
      </c>
      <c r="H7" s="745" t="s">
        <v>115</v>
      </c>
      <c r="I7" s="747"/>
    </row>
    <row r="8" spans="1:12" ht="24.75" customHeight="1">
      <c r="A8" s="741"/>
      <c r="B8" s="748"/>
      <c r="C8" s="749" t="s">
        <v>364</v>
      </c>
      <c r="D8" s="749" t="s">
        <v>340</v>
      </c>
      <c r="E8" s="749" t="s">
        <v>365</v>
      </c>
      <c r="F8" s="750" t="s">
        <v>130</v>
      </c>
      <c r="G8" s="750" t="s">
        <v>129</v>
      </c>
      <c r="H8" s="751" t="s">
        <v>126</v>
      </c>
      <c r="I8" s="646"/>
    </row>
    <row r="9" spans="1:12" ht="19.5" customHeight="1" thickBot="1">
      <c r="A9" s="741"/>
      <c r="B9" s="752" t="s">
        <v>49</v>
      </c>
      <c r="C9" s="753" t="s">
        <v>120</v>
      </c>
      <c r="D9" s="753" t="s">
        <v>120</v>
      </c>
      <c r="E9" s="753" t="s">
        <v>120</v>
      </c>
      <c r="F9" s="752" t="s">
        <v>119</v>
      </c>
      <c r="G9" s="752" t="s">
        <v>119</v>
      </c>
      <c r="H9" s="752"/>
      <c r="I9" s="754" t="s">
        <v>25</v>
      </c>
    </row>
    <row r="10" spans="1:12" ht="19.5" customHeight="1" thickTop="1">
      <c r="A10" s="741"/>
      <c r="B10" s="732" t="s">
        <v>328</v>
      </c>
      <c r="C10" s="755">
        <v>1</v>
      </c>
      <c r="D10" s="756">
        <v>34</v>
      </c>
      <c r="E10" s="756">
        <v>0</v>
      </c>
      <c r="F10" s="757">
        <v>19249</v>
      </c>
      <c r="G10" s="757">
        <v>14374</v>
      </c>
      <c r="H10" s="757">
        <v>8397034.0999999996</v>
      </c>
      <c r="I10" s="758" t="s">
        <v>378</v>
      </c>
      <c r="L10" s="593"/>
    </row>
    <row r="11" spans="1:12" s="609" customFormat="1" ht="19.5" customHeight="1">
      <c r="A11" s="759"/>
      <c r="B11" s="731" t="s">
        <v>3</v>
      </c>
      <c r="C11" s="733">
        <v>0</v>
      </c>
      <c r="D11" s="760">
        <v>0</v>
      </c>
      <c r="E11" s="760">
        <v>3</v>
      </c>
      <c r="F11" s="761">
        <v>1135</v>
      </c>
      <c r="G11" s="761">
        <v>1007</v>
      </c>
      <c r="H11" s="761">
        <v>431595</v>
      </c>
      <c r="I11" s="761" t="s">
        <v>15</v>
      </c>
      <c r="L11" s="593"/>
    </row>
    <row r="12" spans="1:12" s="830" customFormat="1" ht="19.5" customHeight="1">
      <c r="A12" s="837"/>
      <c r="B12" s="732" t="s">
        <v>319</v>
      </c>
      <c r="C12" s="755">
        <v>0</v>
      </c>
      <c r="D12" s="838">
        <v>2</v>
      </c>
      <c r="E12" s="838">
        <v>1</v>
      </c>
      <c r="F12" s="766">
        <v>4681</v>
      </c>
      <c r="G12" s="766">
        <v>1911</v>
      </c>
      <c r="H12" s="766">
        <v>1793116</v>
      </c>
      <c r="I12" s="766" t="s">
        <v>424</v>
      </c>
      <c r="L12" s="831"/>
    </row>
    <row r="13" spans="1:12" s="598" customFormat="1" ht="19.5" customHeight="1">
      <c r="A13" s="834"/>
      <c r="B13" s="832" t="s">
        <v>4</v>
      </c>
      <c r="C13" s="835">
        <v>2</v>
      </c>
      <c r="D13" s="839">
        <v>2</v>
      </c>
      <c r="E13" s="839">
        <v>6</v>
      </c>
      <c r="F13" s="840">
        <v>18332</v>
      </c>
      <c r="G13" s="840">
        <v>15899</v>
      </c>
      <c r="H13" s="840">
        <v>7963020</v>
      </c>
      <c r="I13" s="841" t="s">
        <v>16</v>
      </c>
      <c r="L13" s="734"/>
    </row>
    <row r="14" spans="1:12" s="830" customFormat="1" ht="18" customHeight="1">
      <c r="A14" s="837"/>
      <c r="B14" s="732" t="s">
        <v>5</v>
      </c>
      <c r="C14" s="755">
        <v>0</v>
      </c>
      <c r="D14" s="762">
        <v>0</v>
      </c>
      <c r="E14" s="762">
        <v>2</v>
      </c>
      <c r="F14" s="763">
        <v>4194</v>
      </c>
      <c r="G14" s="763">
        <v>5925</v>
      </c>
      <c r="H14" s="763">
        <v>4225155</v>
      </c>
      <c r="I14" s="766" t="s">
        <v>23</v>
      </c>
      <c r="L14" s="831"/>
    </row>
    <row r="15" spans="1:12" s="609" customFormat="1" ht="18" customHeight="1">
      <c r="A15" s="759"/>
      <c r="B15" s="731" t="s">
        <v>11</v>
      </c>
      <c r="C15" s="733">
        <v>0</v>
      </c>
      <c r="D15" s="764">
        <v>0</v>
      </c>
      <c r="E15" s="764">
        <v>1</v>
      </c>
      <c r="F15" s="765">
        <v>511</v>
      </c>
      <c r="G15" s="765">
        <v>434</v>
      </c>
      <c r="H15" s="765">
        <v>178680.4</v>
      </c>
      <c r="I15" s="761" t="s">
        <v>21</v>
      </c>
      <c r="L15" s="593"/>
    </row>
    <row r="16" spans="1:12" s="830" customFormat="1" ht="18" customHeight="1">
      <c r="A16" s="837"/>
      <c r="B16" s="732" t="s">
        <v>2</v>
      </c>
      <c r="C16" s="755">
        <v>0</v>
      </c>
      <c r="D16" s="762">
        <v>0</v>
      </c>
      <c r="E16" s="762">
        <v>2</v>
      </c>
      <c r="F16" s="763">
        <v>2874</v>
      </c>
      <c r="G16" s="763">
        <v>52270</v>
      </c>
      <c r="H16" s="763">
        <v>1010600</v>
      </c>
      <c r="I16" s="766" t="s">
        <v>14</v>
      </c>
      <c r="L16" s="831"/>
    </row>
    <row r="17" spans="1:12" s="598" customFormat="1" ht="18" customHeight="1">
      <c r="A17" s="834"/>
      <c r="B17" s="832" t="s">
        <v>7</v>
      </c>
      <c r="C17" s="835">
        <v>0</v>
      </c>
      <c r="D17" s="839">
        <v>0</v>
      </c>
      <c r="E17" s="839">
        <v>5</v>
      </c>
      <c r="F17" s="840">
        <v>22058</v>
      </c>
      <c r="G17" s="840">
        <v>42004</v>
      </c>
      <c r="H17" s="840">
        <v>11117452.5</v>
      </c>
      <c r="I17" s="836" t="s">
        <v>444</v>
      </c>
      <c r="L17" s="734"/>
    </row>
    <row r="18" spans="1:12" s="830" customFormat="1" ht="15" customHeight="1">
      <c r="A18" s="837"/>
      <c r="B18" s="732" t="s">
        <v>8</v>
      </c>
      <c r="C18" s="755">
        <v>0</v>
      </c>
      <c r="D18" s="762">
        <v>0</v>
      </c>
      <c r="E18" s="762">
        <v>1</v>
      </c>
      <c r="F18" s="763">
        <v>2093</v>
      </c>
      <c r="G18" s="763">
        <v>1284</v>
      </c>
      <c r="H18" s="763">
        <v>627939</v>
      </c>
      <c r="I18" s="766" t="s">
        <v>18</v>
      </c>
      <c r="L18" s="831"/>
    </row>
    <row r="19" spans="1:12" s="598" customFormat="1" ht="15" customHeight="1">
      <c r="A19" s="834"/>
      <c r="B19" s="832" t="s">
        <v>9</v>
      </c>
      <c r="C19" s="835">
        <v>0</v>
      </c>
      <c r="D19" s="839">
        <v>0</v>
      </c>
      <c r="E19" s="839">
        <v>1</v>
      </c>
      <c r="F19" s="840">
        <v>585</v>
      </c>
      <c r="G19" s="840">
        <v>4756</v>
      </c>
      <c r="H19" s="840">
        <v>215424</v>
      </c>
      <c r="I19" s="841" t="s">
        <v>445</v>
      </c>
      <c r="L19" s="734"/>
    </row>
    <row r="20" spans="1:12" s="830" customFormat="1" ht="17.25" customHeight="1">
      <c r="A20" s="837"/>
      <c r="B20" s="732" t="s">
        <v>12</v>
      </c>
      <c r="C20" s="755">
        <v>0</v>
      </c>
      <c r="D20" s="762">
        <v>0</v>
      </c>
      <c r="E20" s="762">
        <v>1</v>
      </c>
      <c r="F20" s="763">
        <v>22</v>
      </c>
      <c r="G20" s="763">
        <v>71</v>
      </c>
      <c r="H20" s="763">
        <v>8968</v>
      </c>
      <c r="I20" s="758" t="s">
        <v>24</v>
      </c>
      <c r="L20" s="831"/>
    </row>
    <row r="21" spans="1:12" s="598" customFormat="1" ht="15" customHeight="1" thickBot="1">
      <c r="A21" s="834"/>
      <c r="B21" s="832" t="s">
        <v>13</v>
      </c>
      <c r="C21" s="835">
        <v>0</v>
      </c>
      <c r="D21" s="839">
        <v>3</v>
      </c>
      <c r="E21" s="839">
        <v>1</v>
      </c>
      <c r="F21" s="840">
        <v>5237</v>
      </c>
      <c r="G21" s="840">
        <v>2568</v>
      </c>
      <c r="H21" s="840">
        <v>2529260</v>
      </c>
      <c r="I21" s="841" t="s">
        <v>22</v>
      </c>
      <c r="L21" s="734"/>
    </row>
    <row r="22" spans="1:12" s="609" customFormat="1" ht="19.5" customHeight="1" thickBot="1">
      <c r="A22" s="759"/>
      <c r="B22" s="715" t="s">
        <v>0</v>
      </c>
      <c r="C22" s="767">
        <f>SUM(C10:C21)</f>
        <v>3</v>
      </c>
      <c r="D22" s="767">
        <f t="shared" ref="D22:H22" si="0">SUM(D10:D21)</f>
        <v>41</v>
      </c>
      <c r="E22" s="767">
        <f t="shared" si="0"/>
        <v>24</v>
      </c>
      <c r="F22" s="768">
        <f t="shared" si="0"/>
        <v>80971</v>
      </c>
      <c r="G22" s="768">
        <f t="shared" si="0"/>
        <v>142503</v>
      </c>
      <c r="H22" s="768">
        <f t="shared" si="0"/>
        <v>38498244</v>
      </c>
      <c r="I22" s="717" t="s">
        <v>1</v>
      </c>
    </row>
    <row r="23" spans="1:12" ht="16.2" thickTop="1">
      <c r="B23" s="904" t="s">
        <v>443</v>
      </c>
      <c r="C23" s="904"/>
      <c r="D23" s="904"/>
      <c r="E23" s="904"/>
      <c r="F23" s="904"/>
      <c r="G23" s="731"/>
      <c r="H23" s="646"/>
      <c r="I23" s="646"/>
    </row>
    <row r="24" spans="1:12" ht="15.6">
      <c r="B24" s="731"/>
      <c r="C24" s="731"/>
      <c r="D24" s="731"/>
      <c r="E24" s="731"/>
      <c r="F24" s="731"/>
      <c r="G24" s="731"/>
      <c r="H24" s="646"/>
      <c r="I24" s="646"/>
    </row>
    <row r="25" spans="1:12" ht="13.8">
      <c r="I25" s="613"/>
    </row>
    <row r="26" spans="1:12">
      <c r="D26" s="593"/>
    </row>
  </sheetData>
  <mergeCells count="5">
    <mergeCell ref="B2:I3"/>
    <mergeCell ref="G6:H6"/>
    <mergeCell ref="B1:H1"/>
    <mergeCell ref="I4:I5"/>
    <mergeCell ref="B23:F23"/>
  </mergeCells>
  <phoneticPr fontId="3" type="noConversion"/>
  <printOptions horizontalCentered="1" verticalCentered="1"/>
  <pageMargins left="0.23622047244094491" right="0.27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</sheetPr>
  <dimension ref="A1:H16"/>
  <sheetViews>
    <sheetView rightToLeft="1" showWhiteSpace="0" view="pageBreakPreview" zoomScaleNormal="100" zoomScaleSheetLayoutView="100" workbookViewId="0">
      <selection activeCell="B2" sqref="B2:H3"/>
    </sheetView>
  </sheetViews>
  <sheetFormatPr defaultColWidth="9.109375" defaultRowHeight="13.2"/>
  <cols>
    <col min="1" max="1" width="0.44140625" style="587" customWidth="1"/>
    <col min="2" max="2" width="16" style="587" customWidth="1"/>
    <col min="3" max="3" width="13.109375" style="587" customWidth="1"/>
    <col min="4" max="5" width="15.44140625" style="587" customWidth="1"/>
    <col min="6" max="6" width="18.5546875" style="587" customWidth="1"/>
    <col min="7" max="7" width="18.109375" style="587" customWidth="1"/>
    <col min="8" max="8" width="17.88671875" style="587" customWidth="1"/>
    <col min="9" max="16384" width="9.109375" style="587"/>
  </cols>
  <sheetData>
    <row r="1" spans="1:8" ht="21" customHeight="1">
      <c r="A1" s="648"/>
      <c r="B1" s="893" t="s">
        <v>446</v>
      </c>
      <c r="C1" s="893"/>
      <c r="D1" s="893"/>
      <c r="E1" s="893"/>
      <c r="F1" s="893"/>
      <c r="G1" s="893"/>
      <c r="H1" s="893"/>
    </row>
    <row r="2" spans="1:8" ht="15" customHeight="1">
      <c r="A2" s="648"/>
      <c r="B2" s="896" t="s">
        <v>472</v>
      </c>
      <c r="C2" s="896"/>
      <c r="D2" s="896"/>
      <c r="E2" s="896"/>
      <c r="F2" s="896"/>
      <c r="G2" s="896"/>
      <c r="H2" s="896"/>
    </row>
    <row r="3" spans="1:8" ht="13.8">
      <c r="A3" s="648"/>
      <c r="B3" s="896"/>
      <c r="C3" s="896"/>
      <c r="D3" s="896"/>
      <c r="E3" s="896"/>
      <c r="F3" s="896"/>
      <c r="G3" s="896"/>
      <c r="H3" s="896"/>
    </row>
    <row r="4" spans="1:8" ht="13.8">
      <c r="A4" s="648"/>
      <c r="B4" s="893"/>
      <c r="C4" s="893"/>
      <c r="D4" s="893"/>
      <c r="E4" s="893"/>
      <c r="F4" s="893"/>
      <c r="G4" s="893"/>
      <c r="H4" s="893" t="s">
        <v>193</v>
      </c>
    </row>
    <row r="5" spans="1:8" ht="21" customHeight="1" thickBot="1">
      <c r="A5" s="648"/>
      <c r="B5" s="787" t="s">
        <v>400</v>
      </c>
      <c r="C5" s="779" t="s">
        <v>353</v>
      </c>
      <c r="D5" s="779"/>
      <c r="E5" s="779"/>
      <c r="F5" s="926" t="s">
        <v>298</v>
      </c>
      <c r="G5" s="926"/>
      <c r="H5" s="780" t="s">
        <v>399</v>
      </c>
    </row>
    <row r="6" spans="1:8" ht="36" customHeight="1">
      <c r="A6" s="648"/>
      <c r="B6" s="582"/>
      <c r="C6" s="582" t="s">
        <v>351</v>
      </c>
      <c r="D6" s="649" t="s">
        <v>339</v>
      </c>
      <c r="E6" s="649" t="s">
        <v>374</v>
      </c>
      <c r="F6" s="649" t="s">
        <v>78</v>
      </c>
      <c r="G6" s="649" t="s">
        <v>116</v>
      </c>
      <c r="H6" s="582"/>
    </row>
    <row r="7" spans="1:8" ht="15" customHeight="1">
      <c r="A7" s="648"/>
      <c r="B7" s="648"/>
      <c r="C7" s="691" t="s">
        <v>364</v>
      </c>
      <c r="D7" s="567" t="s">
        <v>340</v>
      </c>
      <c r="E7" s="567" t="s">
        <v>365</v>
      </c>
      <c r="F7" s="567" t="s">
        <v>129</v>
      </c>
      <c r="G7" s="642" t="s">
        <v>126</v>
      </c>
      <c r="H7" s="648"/>
    </row>
    <row r="8" spans="1:8" ht="15" customHeight="1" thickBot="1">
      <c r="A8" s="925" t="s">
        <v>131</v>
      </c>
      <c r="B8" s="925"/>
      <c r="C8" s="781" t="s">
        <v>120</v>
      </c>
      <c r="D8" s="781" t="s">
        <v>120</v>
      </c>
      <c r="E8" s="781" t="s">
        <v>120</v>
      </c>
      <c r="F8" s="781" t="s">
        <v>119</v>
      </c>
      <c r="G8" s="730"/>
      <c r="H8" s="571" t="s">
        <v>25</v>
      </c>
    </row>
    <row r="9" spans="1:8" ht="15" customHeight="1" thickTop="1">
      <c r="A9" s="648"/>
      <c r="B9" s="732" t="s">
        <v>328</v>
      </c>
      <c r="C9" s="783">
        <v>0</v>
      </c>
      <c r="D9" s="577">
        <v>1</v>
      </c>
      <c r="E9" s="577">
        <v>0</v>
      </c>
      <c r="F9" s="577">
        <v>190</v>
      </c>
      <c r="G9" s="577">
        <v>80689.5</v>
      </c>
      <c r="H9" s="738" t="s">
        <v>378</v>
      </c>
    </row>
    <row r="10" spans="1:8" ht="15" customHeight="1">
      <c r="A10" s="648"/>
      <c r="B10" s="739" t="s">
        <v>4</v>
      </c>
      <c r="C10" s="782">
        <v>0</v>
      </c>
      <c r="D10" s="573">
        <v>1</v>
      </c>
      <c r="E10" s="573">
        <v>0</v>
      </c>
      <c r="F10" s="573">
        <v>585</v>
      </c>
      <c r="G10" s="573">
        <v>234300</v>
      </c>
      <c r="H10" s="581" t="s">
        <v>16</v>
      </c>
    </row>
    <row r="11" spans="1:8" ht="15" customHeight="1">
      <c r="A11" s="648"/>
      <c r="B11" s="732" t="s">
        <v>5</v>
      </c>
      <c r="C11" s="783">
        <v>0</v>
      </c>
      <c r="D11" s="577">
        <v>0</v>
      </c>
      <c r="E11" s="577">
        <v>1</v>
      </c>
      <c r="F11" s="577">
        <v>26</v>
      </c>
      <c r="G11" s="577">
        <v>13000</v>
      </c>
      <c r="H11" s="738" t="s">
        <v>23</v>
      </c>
    </row>
    <row r="12" spans="1:8" ht="15" customHeight="1">
      <c r="A12" s="648"/>
      <c r="B12" s="739" t="s">
        <v>10</v>
      </c>
      <c r="C12" s="782">
        <v>0</v>
      </c>
      <c r="D12" s="573">
        <v>0</v>
      </c>
      <c r="E12" s="573">
        <v>1</v>
      </c>
      <c r="F12" s="573">
        <v>543</v>
      </c>
      <c r="G12" s="573">
        <v>164920</v>
      </c>
      <c r="H12" s="581" t="s">
        <v>20</v>
      </c>
    </row>
    <row r="13" spans="1:8" ht="15" customHeight="1" thickBot="1">
      <c r="A13" s="648"/>
      <c r="B13" s="732" t="s">
        <v>13</v>
      </c>
      <c r="C13" s="783">
        <v>0</v>
      </c>
      <c r="D13" s="577">
        <v>1</v>
      </c>
      <c r="E13" s="577">
        <v>0</v>
      </c>
      <c r="F13" s="676">
        <v>225</v>
      </c>
      <c r="G13" s="676">
        <v>103500</v>
      </c>
      <c r="H13" s="678" t="s">
        <v>22</v>
      </c>
    </row>
    <row r="14" spans="1:8" ht="15.75" customHeight="1" thickBot="1">
      <c r="A14" s="784"/>
      <c r="B14" s="740" t="s">
        <v>0</v>
      </c>
      <c r="C14" s="785">
        <f>SUM(C9:C13)</f>
        <v>0</v>
      </c>
      <c r="D14" s="785">
        <f t="shared" ref="D14:G14" si="0">SUM(D9:D13)</f>
        <v>3</v>
      </c>
      <c r="E14" s="785">
        <f t="shared" si="0"/>
        <v>2</v>
      </c>
      <c r="F14" s="785">
        <f t="shared" si="0"/>
        <v>1569</v>
      </c>
      <c r="G14" s="786">
        <f t="shared" si="0"/>
        <v>596409.5</v>
      </c>
      <c r="H14" s="785" t="s">
        <v>1</v>
      </c>
    </row>
    <row r="15" spans="1:8" ht="14.4" thickTop="1">
      <c r="B15" s="904" t="s">
        <v>443</v>
      </c>
      <c r="C15" s="904"/>
      <c r="D15" s="904"/>
      <c r="E15" s="904"/>
      <c r="F15" s="619"/>
      <c r="G15" s="619"/>
      <c r="H15" s="613"/>
    </row>
    <row r="16" spans="1:8">
      <c r="B16" s="619"/>
      <c r="C16" s="619"/>
      <c r="D16" s="619"/>
      <c r="E16" s="619"/>
      <c r="F16" s="619"/>
      <c r="G16" s="619"/>
      <c r="H16" s="619"/>
    </row>
  </sheetData>
  <mergeCells count="6">
    <mergeCell ref="B15:E15"/>
    <mergeCell ref="A8:B8"/>
    <mergeCell ref="B1:H1"/>
    <mergeCell ref="B2:H3"/>
    <mergeCell ref="F5:G5"/>
    <mergeCell ref="B4:H4"/>
  </mergeCells>
  <phoneticPr fontId="3" type="noConversion"/>
  <printOptions horizontalCentered="1" verticalCentered="1"/>
  <pageMargins left="0.23622047244094491" right="0.23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Q40"/>
  <sheetViews>
    <sheetView rightToLeft="1" view="pageBreakPreview" topLeftCell="A4" zoomScale="124" zoomScaleNormal="80" zoomScaleSheetLayoutView="124" zoomScalePageLayoutView="91" workbookViewId="0">
      <selection activeCell="A2" sqref="A2:K2"/>
    </sheetView>
  </sheetViews>
  <sheetFormatPr defaultColWidth="9.109375" defaultRowHeight="13.2"/>
  <cols>
    <col min="1" max="1" width="9.33203125" style="587" customWidth="1"/>
    <col min="2" max="2" width="7.88671875" style="587" bestFit="1" customWidth="1"/>
    <col min="3" max="3" width="14.88671875" style="587" customWidth="1"/>
    <col min="4" max="4" width="8" style="587" customWidth="1"/>
    <col min="5" max="5" width="13.88671875" style="587" customWidth="1"/>
    <col min="6" max="6" width="8.6640625" style="587" customWidth="1"/>
    <col min="7" max="7" width="14.33203125" style="587" customWidth="1"/>
    <col min="8" max="8" width="9" style="587" customWidth="1"/>
    <col min="9" max="9" width="13.44140625" style="587" customWidth="1"/>
    <col min="10" max="10" width="14.109375" style="616" customWidth="1"/>
    <col min="11" max="11" width="15.109375" style="587" customWidth="1"/>
    <col min="12" max="12" width="14.5546875" style="587" customWidth="1"/>
    <col min="13" max="13" width="9.109375" style="587"/>
    <col min="14" max="15" width="14.33203125" style="587" bestFit="1" customWidth="1"/>
    <col min="16" max="16" width="13" style="587" bestFit="1" customWidth="1"/>
    <col min="17" max="17" width="14.33203125" style="587" bestFit="1" customWidth="1"/>
    <col min="18" max="16384" width="9.109375" style="587"/>
  </cols>
  <sheetData>
    <row r="1" spans="1:17" ht="16.5" customHeight="1">
      <c r="A1" s="893" t="s">
        <v>419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676" t="s">
        <v>196</v>
      </c>
    </row>
    <row r="2" spans="1:17" ht="15" customHeight="1">
      <c r="A2" s="911" t="s">
        <v>473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592" t="s">
        <v>192</v>
      </c>
    </row>
    <row r="3" spans="1:17" ht="19.5" customHeight="1" thickBot="1">
      <c r="A3" s="928" t="s">
        <v>402</v>
      </c>
      <c r="B3" s="928"/>
      <c r="C3" s="589"/>
      <c r="D3" s="589"/>
      <c r="E3" s="589"/>
      <c r="F3" s="621"/>
      <c r="G3" s="621"/>
      <c r="H3" s="621"/>
      <c r="I3" s="589"/>
      <c r="J3" s="707"/>
      <c r="K3" s="589"/>
      <c r="L3" s="589" t="s">
        <v>401</v>
      </c>
    </row>
    <row r="4" spans="1:17" s="616" customFormat="1" ht="25.5" customHeight="1">
      <c r="A4" s="711"/>
      <c r="B4" s="929" t="s">
        <v>84</v>
      </c>
      <c r="C4" s="929"/>
      <c r="D4" s="929" t="s">
        <v>85</v>
      </c>
      <c r="E4" s="929"/>
      <c r="F4" s="929" t="s">
        <v>86</v>
      </c>
      <c r="G4" s="929"/>
      <c r="H4" s="788"/>
      <c r="I4" s="788" t="s">
        <v>0</v>
      </c>
      <c r="J4" s="930" t="s">
        <v>373</v>
      </c>
      <c r="K4" s="930"/>
      <c r="L4" s="711"/>
    </row>
    <row r="5" spans="1:17" ht="25.5" customHeight="1">
      <c r="B5" s="927" t="s">
        <v>87</v>
      </c>
      <c r="C5" s="927"/>
      <c r="D5" s="927" t="s">
        <v>88</v>
      </c>
      <c r="E5" s="927"/>
      <c r="F5" s="927" t="s">
        <v>89</v>
      </c>
      <c r="G5" s="927"/>
      <c r="H5" s="789"/>
      <c r="I5" s="789" t="s">
        <v>346</v>
      </c>
      <c r="J5" s="789"/>
      <c r="K5" s="789" t="s">
        <v>346</v>
      </c>
      <c r="L5" s="696"/>
    </row>
    <row r="6" spans="1:17" ht="21.75" customHeight="1">
      <c r="A6" s="790"/>
      <c r="B6" s="791" t="s">
        <v>327</v>
      </c>
      <c r="C6" s="791" t="s">
        <v>90</v>
      </c>
      <c r="D6" s="791" t="s">
        <v>64</v>
      </c>
      <c r="E6" s="687" t="s">
        <v>90</v>
      </c>
      <c r="F6" s="791" t="s">
        <v>327</v>
      </c>
      <c r="G6" s="791" t="s">
        <v>90</v>
      </c>
      <c r="H6" s="791" t="s">
        <v>349</v>
      </c>
      <c r="I6" s="791" t="s">
        <v>90</v>
      </c>
      <c r="J6" s="791" t="s">
        <v>341</v>
      </c>
      <c r="K6" s="791" t="s">
        <v>90</v>
      </c>
      <c r="L6" s="694"/>
    </row>
    <row r="7" spans="1:17" ht="27" customHeight="1" thickBot="1">
      <c r="A7" s="792" t="s">
        <v>48</v>
      </c>
      <c r="B7" s="793" t="s">
        <v>120</v>
      </c>
      <c r="C7" s="793" t="s">
        <v>91</v>
      </c>
      <c r="D7" s="793" t="s">
        <v>120</v>
      </c>
      <c r="E7" s="793" t="s">
        <v>91</v>
      </c>
      <c r="F7" s="794" t="s">
        <v>120</v>
      </c>
      <c r="G7" s="793" t="s">
        <v>91</v>
      </c>
      <c r="H7" s="793" t="s">
        <v>120</v>
      </c>
      <c r="I7" s="793" t="s">
        <v>91</v>
      </c>
      <c r="J7" s="793" t="s">
        <v>347</v>
      </c>
      <c r="K7" s="793" t="s">
        <v>91</v>
      </c>
      <c r="L7" s="792" t="s">
        <v>25</v>
      </c>
    </row>
    <row r="8" spans="1:17" ht="15" customHeight="1" thickTop="1">
      <c r="A8" s="694" t="s">
        <v>328</v>
      </c>
      <c r="B8" s="578">
        <v>585</v>
      </c>
      <c r="C8" s="676">
        <v>1675877</v>
      </c>
      <c r="D8" s="676">
        <v>255</v>
      </c>
      <c r="E8" s="676">
        <v>2290713</v>
      </c>
      <c r="F8" s="676">
        <v>92</v>
      </c>
      <c r="G8" s="676">
        <v>1595976</v>
      </c>
      <c r="H8" s="578">
        <f>B8+D8+F8</f>
        <v>932</v>
      </c>
      <c r="I8" s="676">
        <f>C8+E8+G8</f>
        <v>5562566</v>
      </c>
      <c r="J8" s="578">
        <v>6498161</v>
      </c>
      <c r="K8" s="676">
        <f>I8+J8</f>
        <v>12060727</v>
      </c>
      <c r="L8" s="678" t="s">
        <v>378</v>
      </c>
      <c r="N8" s="593"/>
      <c r="O8" s="593"/>
      <c r="P8" s="593"/>
      <c r="Q8" s="593"/>
    </row>
    <row r="9" spans="1:17" s="598" customFormat="1" ht="15" customHeight="1">
      <c r="A9" s="696" t="s">
        <v>29</v>
      </c>
      <c r="B9" s="697">
        <v>943</v>
      </c>
      <c r="C9" s="697">
        <v>3386578</v>
      </c>
      <c r="D9" s="697">
        <v>55</v>
      </c>
      <c r="E9" s="697">
        <v>486068</v>
      </c>
      <c r="F9" s="697">
        <v>135</v>
      </c>
      <c r="G9" s="697">
        <v>2015874</v>
      </c>
      <c r="H9" s="697">
        <f t="shared" ref="H9:H22" si="0">B9+D9+F9</f>
        <v>1133</v>
      </c>
      <c r="I9" s="697">
        <f t="shared" ref="I9:I22" si="1">C9+E9+G9</f>
        <v>5888520</v>
      </c>
      <c r="J9" s="697">
        <v>11067284</v>
      </c>
      <c r="K9" s="697">
        <f t="shared" ref="K9:K22" si="2">I9+J9</f>
        <v>16955804</v>
      </c>
      <c r="L9" s="591" t="s">
        <v>30</v>
      </c>
      <c r="N9" s="734"/>
      <c r="O9" s="734"/>
      <c r="P9" s="734"/>
      <c r="Q9" s="593"/>
    </row>
    <row r="10" spans="1:17" ht="15" customHeight="1">
      <c r="A10" s="563" t="s">
        <v>3</v>
      </c>
      <c r="B10" s="578">
        <v>2012</v>
      </c>
      <c r="C10" s="578">
        <v>6920381</v>
      </c>
      <c r="D10" s="578">
        <v>185</v>
      </c>
      <c r="E10" s="578">
        <v>1686626</v>
      </c>
      <c r="F10" s="578">
        <v>258</v>
      </c>
      <c r="G10" s="578">
        <v>5268494</v>
      </c>
      <c r="H10" s="578">
        <f t="shared" si="0"/>
        <v>2455</v>
      </c>
      <c r="I10" s="578">
        <f t="shared" si="1"/>
        <v>13875501</v>
      </c>
      <c r="J10" s="578">
        <v>58086130</v>
      </c>
      <c r="K10" s="578">
        <f t="shared" si="2"/>
        <v>71961631</v>
      </c>
      <c r="L10" s="678" t="s">
        <v>15</v>
      </c>
      <c r="N10" s="593"/>
      <c r="O10" s="593"/>
      <c r="P10" s="593"/>
      <c r="Q10" s="593"/>
    </row>
    <row r="11" spans="1:17" s="598" customFormat="1" ht="15" customHeight="1">
      <c r="A11" s="795" t="s">
        <v>314</v>
      </c>
      <c r="B11" s="697">
        <v>1087</v>
      </c>
      <c r="C11" s="697">
        <v>3143106</v>
      </c>
      <c r="D11" s="697">
        <v>91</v>
      </c>
      <c r="E11" s="697">
        <v>808162</v>
      </c>
      <c r="F11" s="697">
        <v>156</v>
      </c>
      <c r="G11" s="697">
        <v>3253170</v>
      </c>
      <c r="H11" s="697">
        <f t="shared" si="0"/>
        <v>1334</v>
      </c>
      <c r="I11" s="697">
        <f t="shared" si="1"/>
        <v>7204438</v>
      </c>
      <c r="J11" s="697">
        <v>8024903</v>
      </c>
      <c r="K11" s="697">
        <f t="shared" si="2"/>
        <v>15229341</v>
      </c>
      <c r="L11" s="591" t="s">
        <v>315</v>
      </c>
      <c r="N11" s="734"/>
      <c r="O11" s="734"/>
      <c r="P11" s="734"/>
      <c r="Q11" s="593"/>
    </row>
    <row r="12" spans="1:17" s="598" customFormat="1" ht="15" customHeight="1">
      <c r="A12" s="694" t="s">
        <v>4</v>
      </c>
      <c r="B12" s="417">
        <v>10560</v>
      </c>
      <c r="C12" s="578">
        <v>38132137</v>
      </c>
      <c r="D12" s="578">
        <v>822</v>
      </c>
      <c r="E12" s="578">
        <v>8463732</v>
      </c>
      <c r="F12" s="578">
        <v>1340</v>
      </c>
      <c r="G12" s="578">
        <v>29858113</v>
      </c>
      <c r="H12" s="417">
        <f t="shared" si="0"/>
        <v>12722</v>
      </c>
      <c r="I12" s="578">
        <f t="shared" si="1"/>
        <v>76453982</v>
      </c>
      <c r="J12" s="417">
        <v>117865293</v>
      </c>
      <c r="K12" s="578">
        <f t="shared" si="2"/>
        <v>194319275</v>
      </c>
      <c r="L12" s="695" t="s">
        <v>16</v>
      </c>
      <c r="N12" s="734"/>
      <c r="O12" s="734"/>
      <c r="P12" s="734"/>
      <c r="Q12" s="593"/>
    </row>
    <row r="13" spans="1:17" ht="15" customHeight="1">
      <c r="A13" s="696" t="s">
        <v>5</v>
      </c>
      <c r="B13" s="697">
        <v>1106</v>
      </c>
      <c r="C13" s="697">
        <v>3950618</v>
      </c>
      <c r="D13" s="697">
        <v>77</v>
      </c>
      <c r="E13" s="697">
        <v>782329</v>
      </c>
      <c r="F13" s="697">
        <v>131</v>
      </c>
      <c r="G13" s="697">
        <v>2922896</v>
      </c>
      <c r="H13" s="697">
        <f t="shared" si="0"/>
        <v>1314</v>
      </c>
      <c r="I13" s="697">
        <f t="shared" si="1"/>
        <v>7655843</v>
      </c>
      <c r="J13" s="697">
        <v>5838160</v>
      </c>
      <c r="K13" s="697">
        <f t="shared" si="2"/>
        <v>13494003</v>
      </c>
      <c r="L13" s="606" t="s">
        <v>23</v>
      </c>
      <c r="N13" s="593"/>
      <c r="O13" s="593"/>
      <c r="P13" s="593"/>
      <c r="Q13" s="593"/>
    </row>
    <row r="14" spans="1:17" s="598" customFormat="1" ht="15" customHeight="1">
      <c r="A14" s="694" t="s">
        <v>6</v>
      </c>
      <c r="B14" s="417">
        <v>1895</v>
      </c>
      <c r="C14" s="578">
        <v>6803794</v>
      </c>
      <c r="D14" s="578">
        <v>63</v>
      </c>
      <c r="E14" s="578">
        <v>569856</v>
      </c>
      <c r="F14" s="578">
        <v>248</v>
      </c>
      <c r="G14" s="578">
        <v>5509443</v>
      </c>
      <c r="H14" s="417">
        <f t="shared" si="0"/>
        <v>2206</v>
      </c>
      <c r="I14" s="578">
        <f t="shared" si="1"/>
        <v>12883093</v>
      </c>
      <c r="J14" s="417">
        <v>0</v>
      </c>
      <c r="K14" s="578">
        <f t="shared" si="2"/>
        <v>12883093</v>
      </c>
      <c r="L14" s="695" t="s">
        <v>379</v>
      </c>
      <c r="N14" s="734"/>
      <c r="O14" s="734"/>
      <c r="P14" s="734"/>
      <c r="Q14" s="593"/>
    </row>
    <row r="15" spans="1:17" ht="15" customHeight="1">
      <c r="A15" s="696" t="s">
        <v>11</v>
      </c>
      <c r="B15" s="697">
        <v>1260</v>
      </c>
      <c r="C15" s="697">
        <v>4499442</v>
      </c>
      <c r="D15" s="697">
        <v>241</v>
      </c>
      <c r="E15" s="697">
        <v>2495791</v>
      </c>
      <c r="F15" s="697">
        <v>173</v>
      </c>
      <c r="G15" s="697">
        <v>2595173</v>
      </c>
      <c r="H15" s="697">
        <f t="shared" si="0"/>
        <v>1674</v>
      </c>
      <c r="I15" s="697">
        <f t="shared" si="1"/>
        <v>9590406</v>
      </c>
      <c r="J15" s="697">
        <v>10119122</v>
      </c>
      <c r="K15" s="697">
        <f t="shared" si="2"/>
        <v>19709528</v>
      </c>
      <c r="L15" s="606" t="s">
        <v>21</v>
      </c>
      <c r="N15" s="593"/>
      <c r="O15" s="593"/>
      <c r="P15" s="593"/>
      <c r="Q15" s="593"/>
    </row>
    <row r="16" spans="1:17" s="598" customFormat="1" ht="15" customHeight="1">
      <c r="A16" s="694" t="s">
        <v>2</v>
      </c>
      <c r="B16" s="578">
        <v>476</v>
      </c>
      <c r="C16" s="578">
        <v>1709966</v>
      </c>
      <c r="D16" s="578">
        <v>53</v>
      </c>
      <c r="E16" s="578">
        <v>515196</v>
      </c>
      <c r="F16" s="578">
        <v>61</v>
      </c>
      <c r="G16" s="578">
        <v>898788</v>
      </c>
      <c r="H16" s="578">
        <f t="shared" si="0"/>
        <v>590</v>
      </c>
      <c r="I16" s="578">
        <f t="shared" si="1"/>
        <v>3123950</v>
      </c>
      <c r="J16" s="578">
        <v>1035830</v>
      </c>
      <c r="K16" s="578">
        <f t="shared" si="2"/>
        <v>4159780</v>
      </c>
      <c r="L16" s="796" t="s">
        <v>14</v>
      </c>
      <c r="N16" s="734"/>
      <c r="O16" s="734"/>
      <c r="P16" s="734"/>
      <c r="Q16" s="593"/>
    </row>
    <row r="17" spans="1:17" ht="15" customHeight="1">
      <c r="A17" s="696" t="s">
        <v>7</v>
      </c>
      <c r="B17" s="697">
        <v>1944</v>
      </c>
      <c r="C17" s="697">
        <v>6989451</v>
      </c>
      <c r="D17" s="697">
        <v>604</v>
      </c>
      <c r="E17" s="697">
        <v>5901334</v>
      </c>
      <c r="F17" s="697">
        <v>265</v>
      </c>
      <c r="G17" s="697">
        <v>5105846</v>
      </c>
      <c r="H17" s="697">
        <f t="shared" si="0"/>
        <v>2813</v>
      </c>
      <c r="I17" s="697">
        <f t="shared" si="1"/>
        <v>17996631</v>
      </c>
      <c r="J17" s="697">
        <v>21392349</v>
      </c>
      <c r="K17" s="697">
        <f t="shared" si="2"/>
        <v>39388980</v>
      </c>
      <c r="L17" s="606" t="s">
        <v>17</v>
      </c>
      <c r="N17" s="593"/>
      <c r="O17" s="593"/>
      <c r="P17" s="593"/>
      <c r="Q17" s="593"/>
    </row>
    <row r="18" spans="1:17" s="598" customFormat="1" ht="15" customHeight="1">
      <c r="A18" s="694" t="s">
        <v>8</v>
      </c>
      <c r="B18" s="578">
        <v>965</v>
      </c>
      <c r="C18" s="578">
        <v>3614665</v>
      </c>
      <c r="D18" s="578">
        <v>48</v>
      </c>
      <c r="E18" s="578">
        <v>509235</v>
      </c>
      <c r="F18" s="578">
        <v>126</v>
      </c>
      <c r="G18" s="578">
        <v>2813646</v>
      </c>
      <c r="H18" s="578">
        <f t="shared" si="0"/>
        <v>1139</v>
      </c>
      <c r="I18" s="578">
        <f t="shared" si="1"/>
        <v>6937546</v>
      </c>
      <c r="J18" s="578">
        <v>33100</v>
      </c>
      <c r="K18" s="578">
        <f t="shared" si="2"/>
        <v>6970646</v>
      </c>
      <c r="L18" s="695" t="s">
        <v>18</v>
      </c>
      <c r="N18" s="734"/>
      <c r="O18" s="734"/>
      <c r="P18" s="734"/>
      <c r="Q18" s="593"/>
    </row>
    <row r="19" spans="1:17" ht="15" customHeight="1">
      <c r="A19" s="696" t="s">
        <v>9</v>
      </c>
      <c r="B19" s="697">
        <v>1222</v>
      </c>
      <c r="C19" s="697">
        <v>4412340</v>
      </c>
      <c r="D19" s="697">
        <v>51</v>
      </c>
      <c r="E19" s="697">
        <v>540259</v>
      </c>
      <c r="F19" s="697">
        <v>146</v>
      </c>
      <c r="G19" s="697">
        <v>2581942</v>
      </c>
      <c r="H19" s="697">
        <f t="shared" si="0"/>
        <v>1419</v>
      </c>
      <c r="I19" s="697">
        <f t="shared" si="1"/>
        <v>7534541</v>
      </c>
      <c r="J19" s="697">
        <v>0</v>
      </c>
      <c r="K19" s="697">
        <f t="shared" si="2"/>
        <v>7534541</v>
      </c>
      <c r="L19" s="606" t="s">
        <v>19</v>
      </c>
      <c r="N19" s="593"/>
      <c r="O19" s="593"/>
      <c r="P19" s="593"/>
      <c r="Q19" s="593"/>
    </row>
    <row r="20" spans="1:17" s="598" customFormat="1" ht="15" customHeight="1">
      <c r="A20" s="694" t="s">
        <v>10</v>
      </c>
      <c r="B20" s="578">
        <v>1117</v>
      </c>
      <c r="C20" s="578">
        <v>4031060</v>
      </c>
      <c r="D20" s="578">
        <v>29</v>
      </c>
      <c r="E20" s="578">
        <v>316862</v>
      </c>
      <c r="F20" s="578">
        <v>159</v>
      </c>
      <c r="G20" s="578">
        <v>2926940</v>
      </c>
      <c r="H20" s="578">
        <f t="shared" si="0"/>
        <v>1305</v>
      </c>
      <c r="I20" s="578">
        <f t="shared" si="1"/>
        <v>7274862</v>
      </c>
      <c r="J20" s="578">
        <v>10029000</v>
      </c>
      <c r="K20" s="578">
        <f t="shared" si="2"/>
        <v>17303862</v>
      </c>
      <c r="L20" s="695" t="s">
        <v>20</v>
      </c>
      <c r="N20" s="734"/>
      <c r="O20" s="734"/>
      <c r="P20" s="734"/>
      <c r="Q20" s="593"/>
    </row>
    <row r="21" spans="1:17" ht="15" customHeight="1">
      <c r="A21" s="572" t="s">
        <v>12</v>
      </c>
      <c r="B21" s="697">
        <v>392</v>
      </c>
      <c r="C21" s="697">
        <v>1412726</v>
      </c>
      <c r="D21" s="697">
        <v>4</v>
      </c>
      <c r="E21" s="697">
        <v>32270</v>
      </c>
      <c r="F21" s="697">
        <v>61</v>
      </c>
      <c r="G21" s="697">
        <v>1253431</v>
      </c>
      <c r="H21" s="697">
        <f t="shared" si="0"/>
        <v>457</v>
      </c>
      <c r="I21" s="697">
        <f t="shared" si="1"/>
        <v>2698427</v>
      </c>
      <c r="J21" s="697">
        <v>0</v>
      </c>
      <c r="K21" s="697">
        <f t="shared" si="2"/>
        <v>2698427</v>
      </c>
      <c r="L21" s="581" t="s">
        <v>24</v>
      </c>
      <c r="N21" s="593"/>
      <c r="O21" s="593"/>
      <c r="P21" s="593"/>
      <c r="Q21" s="593"/>
    </row>
    <row r="22" spans="1:17" s="598" customFormat="1" ht="15" customHeight="1" thickBot="1">
      <c r="A22" s="694" t="s">
        <v>13</v>
      </c>
      <c r="B22" s="676">
        <v>3971</v>
      </c>
      <c r="C22" s="676">
        <v>1435092</v>
      </c>
      <c r="D22" s="676">
        <v>90</v>
      </c>
      <c r="E22" s="676">
        <v>1115702</v>
      </c>
      <c r="F22" s="676">
        <v>484</v>
      </c>
      <c r="G22" s="676">
        <v>9961161</v>
      </c>
      <c r="H22" s="676">
        <f t="shared" si="0"/>
        <v>4545</v>
      </c>
      <c r="I22" s="676">
        <f t="shared" si="1"/>
        <v>12511955</v>
      </c>
      <c r="J22" s="676">
        <v>43445352</v>
      </c>
      <c r="K22" s="676">
        <f t="shared" si="2"/>
        <v>55957307</v>
      </c>
      <c r="L22" s="695" t="s">
        <v>22</v>
      </c>
      <c r="N22" s="734"/>
      <c r="O22" s="734"/>
      <c r="P22" s="734"/>
      <c r="Q22" s="593"/>
    </row>
    <row r="23" spans="1:17" s="705" customFormat="1" ht="19.5" customHeight="1" thickBot="1">
      <c r="A23" s="797" t="s">
        <v>0</v>
      </c>
      <c r="B23" s="798">
        <f t="shared" ref="B23:J23" si="3">SUM(B8:B22)</f>
        <v>29535</v>
      </c>
      <c r="C23" s="798">
        <f t="shared" si="3"/>
        <v>92117233</v>
      </c>
      <c r="D23" s="798">
        <f t="shared" si="3"/>
        <v>2668</v>
      </c>
      <c r="E23" s="798">
        <f t="shared" si="3"/>
        <v>26514135</v>
      </c>
      <c r="F23" s="798">
        <f t="shared" si="3"/>
        <v>3835</v>
      </c>
      <c r="G23" s="798">
        <f t="shared" si="3"/>
        <v>78560893</v>
      </c>
      <c r="H23" s="798">
        <f>SUM(H8:H22)</f>
        <v>36038</v>
      </c>
      <c r="I23" s="798">
        <f>SUM(I8:I22)</f>
        <v>197192261</v>
      </c>
      <c r="J23" s="799">
        <f t="shared" si="3"/>
        <v>293434684</v>
      </c>
      <c r="K23" s="799">
        <f>I23+J23</f>
        <v>490626945</v>
      </c>
      <c r="L23" s="800" t="s">
        <v>1</v>
      </c>
    </row>
    <row r="24" spans="1:17">
      <c r="A24" s="615"/>
      <c r="B24" s="617"/>
      <c r="E24" s="593"/>
      <c r="I24" s="615"/>
      <c r="J24" s="801"/>
      <c r="K24" s="615"/>
      <c r="L24" s="615"/>
    </row>
    <row r="25" spans="1:17">
      <c r="A25" s="615"/>
      <c r="B25" s="593"/>
      <c r="E25" s="593"/>
      <c r="H25" s="607"/>
    </row>
    <row r="26" spans="1:17" ht="15.6">
      <c r="B26" s="593"/>
      <c r="C26" s="615"/>
      <c r="E26" s="617"/>
      <c r="F26" s="615"/>
      <c r="G26" s="615"/>
      <c r="H26" s="410"/>
      <c r="I26" s="408"/>
      <c r="J26" s="408"/>
      <c r="K26" s="593"/>
    </row>
    <row r="27" spans="1:17" ht="15.6">
      <c r="B27" s="593"/>
      <c r="C27" s="615"/>
      <c r="E27" s="617"/>
      <c r="F27" s="615"/>
      <c r="G27" s="615"/>
      <c r="H27" s="410"/>
      <c r="I27" s="843"/>
      <c r="J27" s="408"/>
      <c r="K27" s="593"/>
    </row>
    <row r="28" spans="1:17" ht="15.6">
      <c r="B28" s="593"/>
      <c r="C28" s="615"/>
      <c r="E28" s="593"/>
      <c r="H28" s="410"/>
      <c r="I28" s="408"/>
      <c r="J28" s="408"/>
      <c r="K28" s="593"/>
    </row>
    <row r="29" spans="1:17" ht="15.6">
      <c r="B29" s="593"/>
      <c r="C29" s="615"/>
      <c r="E29" s="593"/>
      <c r="G29" s="607"/>
      <c r="H29" s="410"/>
      <c r="I29" s="408"/>
      <c r="J29" s="408"/>
      <c r="K29" s="593"/>
    </row>
    <row r="30" spans="1:17" ht="15.6">
      <c r="B30" s="593"/>
      <c r="C30" s="615"/>
      <c r="E30" s="802"/>
      <c r="H30" s="410"/>
      <c r="I30" s="408"/>
      <c r="J30" s="408"/>
      <c r="K30" s="593"/>
    </row>
    <row r="31" spans="1:17" ht="15.6">
      <c r="B31" s="593"/>
      <c r="C31" s="615"/>
      <c r="E31" s="593"/>
      <c r="H31" s="410"/>
      <c r="I31" s="408"/>
      <c r="J31" s="408"/>
      <c r="K31" s="593"/>
    </row>
    <row r="32" spans="1:17" ht="15.6">
      <c r="B32" s="593"/>
      <c r="C32" s="615"/>
      <c r="E32" s="593"/>
      <c r="H32" s="410"/>
      <c r="I32" s="408"/>
      <c r="J32" s="408"/>
      <c r="K32" s="593"/>
    </row>
    <row r="33" spans="2:11" ht="15.6">
      <c r="B33" s="593"/>
      <c r="C33" s="615"/>
      <c r="E33" s="593"/>
      <c r="H33" s="410"/>
      <c r="I33" s="408"/>
      <c r="J33" s="408"/>
      <c r="K33" s="593"/>
    </row>
    <row r="34" spans="2:11" ht="15.6">
      <c r="B34" s="593"/>
      <c r="C34" s="615"/>
      <c r="E34" s="593"/>
      <c r="H34" s="410"/>
      <c r="I34" s="408"/>
      <c r="J34" s="408"/>
      <c r="K34" s="593"/>
    </row>
    <row r="35" spans="2:11" ht="15.6">
      <c r="B35" s="593"/>
      <c r="C35" s="615"/>
      <c r="E35" s="593"/>
      <c r="H35" s="410"/>
      <c r="I35" s="408"/>
      <c r="J35" s="408"/>
      <c r="K35" s="593"/>
    </row>
    <row r="36" spans="2:11" ht="15.6">
      <c r="B36" s="593"/>
      <c r="C36" s="615"/>
      <c r="E36" s="593"/>
      <c r="H36" s="410"/>
      <c r="I36" s="408"/>
      <c r="J36" s="408"/>
      <c r="K36" s="593"/>
    </row>
    <row r="37" spans="2:11" ht="15.6">
      <c r="B37" s="593"/>
      <c r="C37" s="615"/>
      <c r="E37" s="593"/>
      <c r="H37" s="410"/>
      <c r="I37" s="408"/>
      <c r="J37" s="408"/>
      <c r="K37" s="593"/>
    </row>
    <row r="38" spans="2:11" ht="15.6">
      <c r="H38" s="410"/>
      <c r="I38" s="408"/>
      <c r="J38" s="408"/>
      <c r="K38" s="593"/>
    </row>
    <row r="39" spans="2:11" ht="15.6">
      <c r="H39" s="410"/>
      <c r="I39" s="408"/>
      <c r="J39" s="408"/>
      <c r="K39" s="593"/>
    </row>
    <row r="40" spans="2:11" ht="15.6">
      <c r="H40" s="410"/>
      <c r="I40" s="408"/>
      <c r="J40" s="408"/>
      <c r="K40" s="593"/>
    </row>
  </sheetData>
  <mergeCells count="10">
    <mergeCell ref="A1:K1"/>
    <mergeCell ref="A2:K2"/>
    <mergeCell ref="D5:E5"/>
    <mergeCell ref="F5:G5"/>
    <mergeCell ref="B5:C5"/>
    <mergeCell ref="A3:B3"/>
    <mergeCell ref="B4:C4"/>
    <mergeCell ref="D4:E4"/>
    <mergeCell ref="F4:G4"/>
    <mergeCell ref="J4:K4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  <rowBreaks count="1" manualBreakCount="1">
    <brk id="24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8:J49"/>
  <sheetViews>
    <sheetView rightToLeft="1" view="pageBreakPreview" topLeftCell="A6" zoomScaleNormal="100" zoomScaleSheetLayoutView="100" workbookViewId="0">
      <selection activeCell="O11" sqref="O11"/>
    </sheetView>
  </sheetViews>
  <sheetFormatPr defaultRowHeight="13.2"/>
  <cols>
    <col min="5" max="5" width="8.88671875" customWidth="1"/>
    <col min="6" max="6" width="8.109375" customWidth="1"/>
    <col min="13" max="13" width="9.88671875" customWidth="1"/>
  </cols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  <row r="34" spans="5:6">
      <c r="E34" s="931"/>
      <c r="F34" s="931"/>
    </row>
    <row r="39" spans="5:6" ht="17.25" customHeight="1"/>
    <row r="45" spans="5:6" ht="18.75" customHeight="1"/>
    <row r="46" spans="5:6" ht="18" customHeight="1"/>
    <row r="49" ht="27.75" customHeight="1"/>
  </sheetData>
  <mergeCells count="1">
    <mergeCell ref="E34:F34"/>
  </mergeCells>
  <phoneticPr fontId="3" type="noConversion"/>
  <printOptions horizontalCentered="1" verticalCentered="1"/>
  <pageMargins left="0.23622047244094491" right="0.85" top="1.1499999999999999" bottom="1.8110236220472442" header="0.19685039370078741" footer="0.78740157480314965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:N27"/>
  <sheetViews>
    <sheetView rightToLeft="1" view="pageBreakPreview" zoomScale="106" zoomScaleNormal="90" zoomScaleSheetLayoutView="106" workbookViewId="0">
      <selection activeCell="A2" sqref="A2:I2"/>
    </sheetView>
  </sheetViews>
  <sheetFormatPr defaultColWidth="9.109375" defaultRowHeight="13.2"/>
  <cols>
    <col min="1" max="1" width="9.44140625" style="587" customWidth="1"/>
    <col min="2" max="2" width="11" style="587" customWidth="1"/>
    <col min="3" max="3" width="15.109375" style="587" customWidth="1"/>
    <col min="4" max="4" width="10.5546875" style="587" customWidth="1"/>
    <col min="5" max="5" width="12.33203125" style="587" bestFit="1" customWidth="1"/>
    <col min="6" max="6" width="8.6640625" style="587" customWidth="1"/>
    <col min="7" max="7" width="12.33203125" style="587" bestFit="1" customWidth="1"/>
    <col min="8" max="8" width="10.33203125" style="587" customWidth="1"/>
    <col min="9" max="9" width="14.5546875" style="587" customWidth="1"/>
    <col min="10" max="10" width="16" style="587" bestFit="1" customWidth="1"/>
    <col min="11" max="16384" width="9.109375" style="587"/>
  </cols>
  <sheetData>
    <row r="1" spans="1:10" ht="15" customHeight="1">
      <c r="A1" s="893" t="s">
        <v>451</v>
      </c>
      <c r="B1" s="893"/>
      <c r="C1" s="893"/>
      <c r="D1" s="893"/>
      <c r="E1" s="893"/>
      <c r="F1" s="893"/>
      <c r="G1" s="893"/>
      <c r="H1" s="893"/>
      <c r="I1" s="893"/>
      <c r="J1" s="803"/>
    </row>
    <row r="2" spans="1:10" ht="15" customHeight="1">
      <c r="A2" s="896" t="s">
        <v>474</v>
      </c>
      <c r="B2" s="896"/>
      <c r="C2" s="896"/>
      <c r="D2" s="896"/>
      <c r="E2" s="896"/>
      <c r="F2" s="896"/>
      <c r="G2" s="896"/>
      <c r="H2" s="896"/>
      <c r="I2" s="896"/>
      <c r="J2" s="804" t="s">
        <v>366</v>
      </c>
    </row>
    <row r="3" spans="1:10" ht="13.8">
      <c r="A3" s="568"/>
      <c r="B3" s="568"/>
      <c r="C3" s="568"/>
      <c r="D3" s="568"/>
      <c r="E3" s="568"/>
      <c r="F3" s="568"/>
      <c r="G3" s="568"/>
      <c r="H3" s="568"/>
      <c r="J3" s="613" t="s">
        <v>367</v>
      </c>
    </row>
    <row r="4" spans="1:10" ht="15.75" customHeight="1" thickBot="1">
      <c r="A4" s="905" t="s">
        <v>403</v>
      </c>
      <c r="B4" s="905"/>
      <c r="C4" s="805" t="s">
        <v>166</v>
      </c>
      <c r="D4" s="648"/>
      <c r="E4" s="648"/>
      <c r="F4" s="648"/>
      <c r="G4" s="648"/>
      <c r="H4" s="648"/>
      <c r="I4" s="564" t="s">
        <v>107</v>
      </c>
      <c r="J4" s="665" t="s">
        <v>404</v>
      </c>
    </row>
    <row r="5" spans="1:10" ht="15" customHeight="1">
      <c r="A5" s="709"/>
      <c r="B5" s="933" t="s">
        <v>197</v>
      </c>
      <c r="C5" s="933"/>
      <c r="D5" s="933" t="s">
        <v>198</v>
      </c>
      <c r="E5" s="933"/>
      <c r="F5" s="933" t="s">
        <v>344</v>
      </c>
      <c r="G5" s="933"/>
      <c r="H5" s="933" t="s">
        <v>316</v>
      </c>
      <c r="I5" s="933"/>
      <c r="J5" s="709"/>
    </row>
    <row r="6" spans="1:10" ht="33" customHeight="1">
      <c r="A6" s="688"/>
      <c r="B6" s="935" t="s">
        <v>154</v>
      </c>
      <c r="C6" s="935"/>
      <c r="D6" s="935" t="s">
        <v>231</v>
      </c>
      <c r="E6" s="935"/>
      <c r="F6" s="935" t="s">
        <v>254</v>
      </c>
      <c r="G6" s="935"/>
      <c r="H6" s="934" t="s">
        <v>1</v>
      </c>
      <c r="I6" s="934"/>
      <c r="J6" s="688"/>
    </row>
    <row r="7" spans="1:10" s="598" customFormat="1" ht="15" customHeight="1">
      <c r="A7" s="789"/>
      <c r="B7" s="696" t="s">
        <v>64</v>
      </c>
      <c r="C7" s="696" t="s">
        <v>215</v>
      </c>
      <c r="D7" s="696" t="s">
        <v>26</v>
      </c>
      <c r="E7" s="696" t="s">
        <v>215</v>
      </c>
      <c r="F7" s="696" t="s">
        <v>26</v>
      </c>
      <c r="G7" s="696" t="s">
        <v>215</v>
      </c>
      <c r="H7" s="696" t="s">
        <v>64</v>
      </c>
      <c r="I7" s="696" t="s">
        <v>215</v>
      </c>
      <c r="J7" s="789"/>
    </row>
    <row r="8" spans="1:10" s="705" customFormat="1" ht="15" customHeight="1" thickBot="1">
      <c r="A8" s="806" t="s">
        <v>55</v>
      </c>
      <c r="B8" s="807" t="s">
        <v>120</v>
      </c>
      <c r="C8" s="807" t="s">
        <v>28</v>
      </c>
      <c r="D8" s="807" t="s">
        <v>120</v>
      </c>
      <c r="E8" s="807" t="s">
        <v>28</v>
      </c>
      <c r="F8" s="807" t="s">
        <v>120</v>
      </c>
      <c r="G8" s="807" t="s">
        <v>28</v>
      </c>
      <c r="H8" s="807" t="s">
        <v>120</v>
      </c>
      <c r="I8" s="807" t="s">
        <v>28</v>
      </c>
      <c r="J8" s="808" t="s">
        <v>25</v>
      </c>
    </row>
    <row r="9" spans="1:10" s="652" customFormat="1" ht="15" customHeight="1" thickTop="1">
      <c r="A9" s="580" t="s">
        <v>328</v>
      </c>
      <c r="B9" s="574">
        <v>495</v>
      </c>
      <c r="C9" s="573">
        <v>161157</v>
      </c>
      <c r="D9" s="645">
        <v>496</v>
      </c>
      <c r="E9" s="645">
        <v>123320</v>
      </c>
      <c r="F9" s="573">
        <v>682</v>
      </c>
      <c r="G9" s="574">
        <v>1306610</v>
      </c>
      <c r="H9" s="573">
        <f>B9+D9+F9</f>
        <v>1673</v>
      </c>
      <c r="I9" s="573">
        <f>C9+E9+G9</f>
        <v>1591087</v>
      </c>
      <c r="J9" s="581" t="s">
        <v>378</v>
      </c>
    </row>
    <row r="10" spans="1:10" s="652" customFormat="1" ht="15" customHeight="1">
      <c r="A10" s="582" t="s">
        <v>29</v>
      </c>
      <c r="B10" s="578">
        <v>115</v>
      </c>
      <c r="C10" s="577">
        <f>B10*158</f>
        <v>18170</v>
      </c>
      <c r="D10" s="640">
        <v>0</v>
      </c>
      <c r="E10" s="640">
        <v>0</v>
      </c>
      <c r="F10" s="577">
        <v>0</v>
      </c>
      <c r="G10" s="578">
        <v>0</v>
      </c>
      <c r="H10" s="578">
        <f t="shared" ref="H10:H23" si="0">B10+D10+F10</f>
        <v>115</v>
      </c>
      <c r="I10" s="578">
        <f t="shared" ref="I10:I23" si="1">C10+E10+G10</f>
        <v>18170</v>
      </c>
      <c r="J10" s="738" t="s">
        <v>30</v>
      </c>
    </row>
    <row r="11" spans="1:10" s="609" customFormat="1" ht="13.8">
      <c r="A11" s="580" t="s">
        <v>3</v>
      </c>
      <c r="B11" s="654">
        <v>31894</v>
      </c>
      <c r="C11" s="573">
        <v>5275248</v>
      </c>
      <c r="D11" s="645">
        <v>446</v>
      </c>
      <c r="E11" s="645">
        <v>125440</v>
      </c>
      <c r="F11" s="573">
        <v>2179</v>
      </c>
      <c r="G11" s="574">
        <v>4231414</v>
      </c>
      <c r="H11" s="573">
        <f t="shared" si="0"/>
        <v>34519</v>
      </c>
      <c r="I11" s="573">
        <f t="shared" si="1"/>
        <v>9632102</v>
      </c>
      <c r="J11" s="581" t="s">
        <v>15</v>
      </c>
    </row>
    <row r="12" spans="1:10" s="609" customFormat="1" ht="15" customHeight="1">
      <c r="A12" s="582" t="s">
        <v>314</v>
      </c>
      <c r="B12" s="653">
        <v>21363</v>
      </c>
      <c r="C12" s="577">
        <f>B12*158</f>
        <v>3375354</v>
      </c>
      <c r="D12" s="640">
        <v>1086</v>
      </c>
      <c r="E12" s="640">
        <v>246150</v>
      </c>
      <c r="F12" s="577">
        <v>1404</v>
      </c>
      <c r="G12" s="578">
        <v>2701141</v>
      </c>
      <c r="H12" s="578">
        <f t="shared" si="0"/>
        <v>23853</v>
      </c>
      <c r="I12" s="578">
        <f t="shared" si="1"/>
        <v>6322645</v>
      </c>
      <c r="J12" s="738" t="s">
        <v>315</v>
      </c>
    </row>
    <row r="13" spans="1:10" s="609" customFormat="1" ht="15" customHeight="1">
      <c r="A13" s="580" t="s">
        <v>4</v>
      </c>
      <c r="B13" s="654">
        <v>159075</v>
      </c>
      <c r="C13" s="828">
        <f>B13*158</f>
        <v>25133850</v>
      </c>
      <c r="D13" s="645">
        <v>9006</v>
      </c>
      <c r="E13" s="645">
        <v>1733758</v>
      </c>
      <c r="F13" s="573">
        <v>60</v>
      </c>
      <c r="G13" s="574">
        <v>111067</v>
      </c>
      <c r="H13" s="573">
        <f t="shared" si="0"/>
        <v>168141</v>
      </c>
      <c r="I13" s="573">
        <f t="shared" si="1"/>
        <v>26978675</v>
      </c>
      <c r="J13" s="581" t="s">
        <v>16</v>
      </c>
    </row>
    <row r="14" spans="1:10" s="609" customFormat="1" ht="18" customHeight="1">
      <c r="A14" s="582" t="s">
        <v>5</v>
      </c>
      <c r="B14" s="653">
        <v>32502</v>
      </c>
      <c r="C14" s="577">
        <v>4329283</v>
      </c>
      <c r="D14" s="640">
        <v>14353</v>
      </c>
      <c r="E14" s="640">
        <v>2583489</v>
      </c>
      <c r="F14" s="577">
        <v>1333</v>
      </c>
      <c r="G14" s="578">
        <v>2422388</v>
      </c>
      <c r="H14" s="578">
        <f t="shared" si="0"/>
        <v>48188</v>
      </c>
      <c r="I14" s="578">
        <f t="shared" si="1"/>
        <v>9335160</v>
      </c>
      <c r="J14" s="738" t="s">
        <v>23</v>
      </c>
    </row>
    <row r="15" spans="1:10" s="609" customFormat="1" ht="13.8">
      <c r="A15" s="580" t="s">
        <v>6</v>
      </c>
      <c r="B15" s="654">
        <v>34175</v>
      </c>
      <c r="C15" s="573">
        <v>4470102</v>
      </c>
      <c r="D15" s="645">
        <v>538</v>
      </c>
      <c r="E15" s="645">
        <v>90736</v>
      </c>
      <c r="F15" s="573">
        <v>817</v>
      </c>
      <c r="G15" s="574">
        <v>1493246</v>
      </c>
      <c r="H15" s="573">
        <f t="shared" si="0"/>
        <v>35530</v>
      </c>
      <c r="I15" s="573">
        <f t="shared" si="1"/>
        <v>6054084</v>
      </c>
      <c r="J15" s="581" t="s">
        <v>379</v>
      </c>
    </row>
    <row r="16" spans="1:10" s="609" customFormat="1" ht="13.8">
      <c r="A16" s="582" t="s">
        <v>11</v>
      </c>
      <c r="B16" s="653">
        <v>37243</v>
      </c>
      <c r="C16" s="577">
        <v>4655396</v>
      </c>
      <c r="D16" s="640">
        <v>0</v>
      </c>
      <c r="E16" s="640">
        <v>0</v>
      </c>
      <c r="F16" s="577">
        <v>0</v>
      </c>
      <c r="G16" s="578">
        <v>0</v>
      </c>
      <c r="H16" s="578">
        <f t="shared" si="0"/>
        <v>37243</v>
      </c>
      <c r="I16" s="578">
        <f t="shared" si="1"/>
        <v>4655396</v>
      </c>
      <c r="J16" s="738" t="s">
        <v>21</v>
      </c>
    </row>
    <row r="17" spans="1:14" s="609" customFormat="1" ht="13.8">
      <c r="A17" s="580" t="s">
        <v>2</v>
      </c>
      <c r="B17" s="654">
        <v>9242</v>
      </c>
      <c r="C17" s="573">
        <v>1721795</v>
      </c>
      <c r="D17" s="645">
        <v>6307</v>
      </c>
      <c r="E17" s="645">
        <v>1423585</v>
      </c>
      <c r="F17" s="573">
        <v>0</v>
      </c>
      <c r="G17" s="574">
        <v>0</v>
      </c>
      <c r="H17" s="573">
        <f t="shared" si="0"/>
        <v>15549</v>
      </c>
      <c r="I17" s="573">
        <f t="shared" si="1"/>
        <v>3145380</v>
      </c>
      <c r="J17" s="581" t="s">
        <v>14</v>
      </c>
    </row>
    <row r="18" spans="1:14" s="609" customFormat="1" ht="13.8">
      <c r="A18" s="582" t="s">
        <v>7</v>
      </c>
      <c r="B18" s="653">
        <v>436080</v>
      </c>
      <c r="C18" s="578">
        <v>6039816</v>
      </c>
      <c r="D18" s="640">
        <v>122</v>
      </c>
      <c r="E18" s="640">
        <v>21360</v>
      </c>
      <c r="F18" s="577">
        <v>91</v>
      </c>
      <c r="G18" s="578">
        <v>172376</v>
      </c>
      <c r="H18" s="578">
        <f t="shared" si="0"/>
        <v>436293</v>
      </c>
      <c r="I18" s="578">
        <f t="shared" si="1"/>
        <v>6233552</v>
      </c>
      <c r="J18" s="738" t="s">
        <v>17</v>
      </c>
    </row>
    <row r="19" spans="1:14" s="609" customFormat="1" ht="13.8">
      <c r="A19" s="580" t="s">
        <v>8</v>
      </c>
      <c r="B19" s="654">
        <v>35736</v>
      </c>
      <c r="C19" s="573">
        <v>4406281</v>
      </c>
      <c r="D19" s="645">
        <v>0</v>
      </c>
      <c r="E19" s="645">
        <v>0</v>
      </c>
      <c r="F19" s="573">
        <v>0</v>
      </c>
      <c r="G19" s="574">
        <v>0</v>
      </c>
      <c r="H19" s="573">
        <f t="shared" si="0"/>
        <v>35736</v>
      </c>
      <c r="I19" s="573">
        <f t="shared" si="1"/>
        <v>4406281</v>
      </c>
      <c r="J19" s="581" t="s">
        <v>18</v>
      </c>
    </row>
    <row r="20" spans="1:14" s="609" customFormat="1" ht="13.8">
      <c r="A20" s="582" t="s">
        <v>9</v>
      </c>
      <c r="B20" s="653">
        <v>19950</v>
      </c>
      <c r="C20" s="577">
        <v>2393946</v>
      </c>
      <c r="D20" s="640">
        <v>210</v>
      </c>
      <c r="E20" s="640">
        <f>D20*203</f>
        <v>42630</v>
      </c>
      <c r="F20" s="577">
        <v>0</v>
      </c>
      <c r="G20" s="578">
        <v>0</v>
      </c>
      <c r="H20" s="578">
        <f t="shared" si="0"/>
        <v>20160</v>
      </c>
      <c r="I20" s="578">
        <f t="shared" si="1"/>
        <v>2436576</v>
      </c>
      <c r="J20" s="738" t="s">
        <v>19</v>
      </c>
    </row>
    <row r="21" spans="1:14" s="609" customFormat="1" ht="13.8">
      <c r="A21" s="580" t="s">
        <v>10</v>
      </c>
      <c r="B21" s="654">
        <v>33905</v>
      </c>
      <c r="C21" s="573">
        <v>4539522</v>
      </c>
      <c r="D21" s="645">
        <v>19466</v>
      </c>
      <c r="E21" s="645">
        <v>2886760</v>
      </c>
      <c r="F21" s="573">
        <v>18</v>
      </c>
      <c r="G21" s="574">
        <v>34595</v>
      </c>
      <c r="H21" s="573">
        <f t="shared" si="0"/>
        <v>53389</v>
      </c>
      <c r="I21" s="573">
        <f t="shared" si="1"/>
        <v>7460877</v>
      </c>
      <c r="J21" s="581" t="s">
        <v>20</v>
      </c>
    </row>
    <row r="22" spans="1:14" s="609" customFormat="1" ht="13.8">
      <c r="A22" s="582" t="s">
        <v>12</v>
      </c>
      <c r="B22" s="653">
        <v>9413</v>
      </c>
      <c r="C22" s="577">
        <v>1286717</v>
      </c>
      <c r="D22" s="640">
        <v>0</v>
      </c>
      <c r="E22" s="640">
        <v>0</v>
      </c>
      <c r="F22" s="577">
        <v>0</v>
      </c>
      <c r="G22" s="578">
        <v>0</v>
      </c>
      <c r="H22" s="578">
        <f t="shared" si="0"/>
        <v>9413</v>
      </c>
      <c r="I22" s="578">
        <f t="shared" si="1"/>
        <v>1286717</v>
      </c>
      <c r="J22" s="738" t="s">
        <v>24</v>
      </c>
    </row>
    <row r="23" spans="1:14" s="609" customFormat="1" ht="14.4" thickBot="1">
      <c r="A23" s="580" t="s">
        <v>13</v>
      </c>
      <c r="B23" s="654">
        <v>47050</v>
      </c>
      <c r="C23" s="573">
        <v>8200897</v>
      </c>
      <c r="D23" s="645">
        <v>15183</v>
      </c>
      <c r="E23" s="645">
        <v>3036559</v>
      </c>
      <c r="F23" s="573">
        <v>0</v>
      </c>
      <c r="G23" s="574">
        <v>0</v>
      </c>
      <c r="H23" s="573">
        <f t="shared" si="0"/>
        <v>62233</v>
      </c>
      <c r="I23" s="573">
        <f t="shared" si="1"/>
        <v>11237456</v>
      </c>
      <c r="J23" s="581" t="s">
        <v>22</v>
      </c>
    </row>
    <row r="24" spans="1:14" s="652" customFormat="1" ht="16.5" customHeight="1" thickBot="1">
      <c r="A24" s="660" t="s">
        <v>0</v>
      </c>
      <c r="B24" s="661">
        <f>SUM(B9:B23)</f>
        <v>908238</v>
      </c>
      <c r="C24" s="661">
        <f t="shared" ref="C24:I24" si="2">SUM(C9:C23)</f>
        <v>76007534</v>
      </c>
      <c r="D24" s="661">
        <f t="shared" si="2"/>
        <v>67213</v>
      </c>
      <c r="E24" s="661">
        <f t="shared" si="2"/>
        <v>12313787</v>
      </c>
      <c r="F24" s="661">
        <f t="shared" si="2"/>
        <v>6584</v>
      </c>
      <c r="G24" s="661">
        <f t="shared" si="2"/>
        <v>12472837</v>
      </c>
      <c r="H24" s="661">
        <f t="shared" si="2"/>
        <v>982035</v>
      </c>
      <c r="I24" s="661">
        <f t="shared" si="2"/>
        <v>100794158</v>
      </c>
      <c r="J24" s="662" t="s">
        <v>1</v>
      </c>
    </row>
    <row r="25" spans="1:14" ht="24" customHeight="1">
      <c r="A25" s="932"/>
      <c r="B25" s="932"/>
      <c r="C25" s="932"/>
      <c r="D25" s="932"/>
      <c r="E25" s="588"/>
      <c r="F25" s="588"/>
      <c r="G25" s="592"/>
      <c r="H25" s="592"/>
      <c r="I25" s="592"/>
      <c r="J25" s="614"/>
    </row>
    <row r="26" spans="1:14" ht="13.8">
      <c r="C26" s="615"/>
      <c r="D26" s="615"/>
      <c r="E26" s="615"/>
      <c r="F26" s="615"/>
      <c r="J26" s="590"/>
    </row>
    <row r="27" spans="1:14" ht="18" customHeight="1">
      <c r="A27" s="594"/>
      <c r="B27" s="594"/>
      <c r="H27" s="607"/>
      <c r="I27" s="597"/>
      <c r="J27" s="591"/>
      <c r="N27" s="593"/>
    </row>
  </sheetData>
  <mergeCells count="12">
    <mergeCell ref="A1:I1"/>
    <mergeCell ref="A4:B4"/>
    <mergeCell ref="A25:D25"/>
    <mergeCell ref="H5:I5"/>
    <mergeCell ref="H6:I6"/>
    <mergeCell ref="B5:C5"/>
    <mergeCell ref="B6:C6"/>
    <mergeCell ref="D5:E5"/>
    <mergeCell ref="D6:E6"/>
    <mergeCell ref="F5:G5"/>
    <mergeCell ref="F6:G6"/>
    <mergeCell ref="A2:I2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J29"/>
  <sheetViews>
    <sheetView rightToLeft="1" view="pageBreakPreview" zoomScaleNormal="90" zoomScaleSheetLayoutView="100" workbookViewId="0">
      <selection activeCell="A2" sqref="A2:I2"/>
    </sheetView>
  </sheetViews>
  <sheetFormatPr defaultColWidth="9.109375" defaultRowHeight="13.2"/>
  <cols>
    <col min="1" max="1" width="9.109375" style="587" customWidth="1"/>
    <col min="2" max="2" width="10.33203125" style="587" customWidth="1"/>
    <col min="3" max="3" width="14.5546875" style="587" customWidth="1"/>
    <col min="4" max="4" width="9.44140625" style="587" customWidth="1"/>
    <col min="5" max="5" width="17.109375" style="587" customWidth="1"/>
    <col min="6" max="6" width="9.109375" style="587"/>
    <col min="7" max="7" width="12.6640625" style="587" customWidth="1"/>
    <col min="8" max="8" width="9" style="587" customWidth="1"/>
    <col min="9" max="9" width="15.109375" style="587" customWidth="1"/>
    <col min="10" max="10" width="15" style="587" customWidth="1"/>
    <col min="11" max="16384" width="9.109375" style="587"/>
  </cols>
  <sheetData>
    <row r="1" spans="1:10" ht="13.8">
      <c r="A1" s="893" t="s">
        <v>452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0" ht="13.5" customHeight="1">
      <c r="A2" s="938" t="s">
        <v>475</v>
      </c>
      <c r="B2" s="938"/>
      <c r="C2" s="938"/>
      <c r="D2" s="938"/>
      <c r="E2" s="938"/>
      <c r="F2" s="938"/>
      <c r="G2" s="938"/>
      <c r="H2" s="938"/>
      <c r="I2" s="938"/>
      <c r="J2" s="641" t="s">
        <v>286</v>
      </c>
    </row>
    <row r="3" spans="1:10" ht="15.75" customHeight="1">
      <c r="A3" s="564"/>
      <c r="B3" s="564"/>
      <c r="C3" s="564"/>
      <c r="D3" s="564"/>
      <c r="E3" s="564"/>
      <c r="F3" s="564"/>
      <c r="G3" s="564"/>
      <c r="H3" s="564"/>
      <c r="J3" s="613" t="s">
        <v>193</v>
      </c>
    </row>
    <row r="4" spans="1:10" ht="15" customHeight="1" thickBot="1">
      <c r="A4" s="905" t="s">
        <v>405</v>
      </c>
      <c r="B4" s="905"/>
      <c r="C4" s="804" t="s">
        <v>165</v>
      </c>
      <c r="D4" s="568"/>
      <c r="E4" s="568"/>
      <c r="F4" s="648"/>
      <c r="G4" s="894" t="s">
        <v>299</v>
      </c>
      <c r="H4" s="894"/>
      <c r="I4" s="894" t="s">
        <v>404</v>
      </c>
      <c r="J4" s="894"/>
    </row>
    <row r="5" spans="1:10" ht="15" customHeight="1">
      <c r="A5" s="809"/>
      <c r="B5" s="937" t="s">
        <v>199</v>
      </c>
      <c r="C5" s="937"/>
      <c r="D5" s="937" t="s">
        <v>200</v>
      </c>
      <c r="E5" s="937"/>
      <c r="F5" s="937" t="s">
        <v>201</v>
      </c>
      <c r="G5" s="937"/>
      <c r="H5" s="937" t="s">
        <v>203</v>
      </c>
      <c r="I5" s="937"/>
      <c r="J5" s="711"/>
    </row>
    <row r="6" spans="1:10" s="598" customFormat="1" ht="15" customHeight="1">
      <c r="A6" s="810"/>
      <c r="B6" s="936" t="s">
        <v>283</v>
      </c>
      <c r="C6" s="936"/>
      <c r="D6" s="936" t="s">
        <v>211</v>
      </c>
      <c r="E6" s="936"/>
      <c r="F6" s="936" t="s">
        <v>202</v>
      </c>
      <c r="G6" s="936"/>
      <c r="H6" s="936" t="s">
        <v>204</v>
      </c>
      <c r="I6" s="936"/>
      <c r="J6" s="811"/>
    </row>
    <row r="7" spans="1:10" s="598" customFormat="1" ht="15" customHeight="1">
      <c r="A7" s="812"/>
      <c r="B7" s="795" t="s">
        <v>64</v>
      </c>
      <c r="C7" s="795" t="s">
        <v>215</v>
      </c>
      <c r="D7" s="795" t="s">
        <v>64</v>
      </c>
      <c r="E7" s="795" t="s">
        <v>215</v>
      </c>
      <c r="F7" s="795" t="s">
        <v>64</v>
      </c>
      <c r="G7" s="795" t="s">
        <v>215</v>
      </c>
      <c r="H7" s="795" t="s">
        <v>64</v>
      </c>
      <c r="I7" s="795" t="s">
        <v>215</v>
      </c>
      <c r="J7" s="621"/>
    </row>
    <row r="8" spans="1:10" s="705" customFormat="1" ht="15" customHeight="1" thickBot="1">
      <c r="A8" s="807" t="s">
        <v>47</v>
      </c>
      <c r="B8" s="813" t="s">
        <v>120</v>
      </c>
      <c r="C8" s="813" t="s">
        <v>28</v>
      </c>
      <c r="D8" s="813" t="s">
        <v>120</v>
      </c>
      <c r="E8" s="813" t="s">
        <v>28</v>
      </c>
      <c r="F8" s="813" t="s">
        <v>120</v>
      </c>
      <c r="G8" s="813" t="s">
        <v>28</v>
      </c>
      <c r="H8" s="813" t="s">
        <v>120</v>
      </c>
      <c r="I8" s="813" t="s">
        <v>28</v>
      </c>
      <c r="J8" s="814" t="s">
        <v>25</v>
      </c>
    </row>
    <row r="9" spans="1:10" s="652" customFormat="1" ht="15.6" customHeight="1" thickTop="1">
      <c r="A9" s="582" t="s">
        <v>328</v>
      </c>
      <c r="B9" s="577">
        <v>81</v>
      </c>
      <c r="C9" s="578">
        <v>46757</v>
      </c>
      <c r="D9" s="577">
        <v>2082</v>
      </c>
      <c r="E9" s="815">
        <v>889042</v>
      </c>
      <c r="F9" s="577">
        <v>479</v>
      </c>
      <c r="G9" s="578">
        <v>189463</v>
      </c>
      <c r="H9" s="577">
        <v>2641</v>
      </c>
      <c r="I9" s="578">
        <f>C9+E9+G9</f>
        <v>1125262</v>
      </c>
      <c r="J9" s="579" t="s">
        <v>378</v>
      </c>
    </row>
    <row r="10" spans="1:10" s="609" customFormat="1" ht="15.6" customHeight="1">
      <c r="A10" s="580" t="s">
        <v>29</v>
      </c>
      <c r="B10" s="573">
        <v>103</v>
      </c>
      <c r="C10" s="574">
        <v>58396</v>
      </c>
      <c r="D10" s="573">
        <v>1553</v>
      </c>
      <c r="E10" s="816">
        <v>763058</v>
      </c>
      <c r="F10" s="573">
        <v>827</v>
      </c>
      <c r="G10" s="574">
        <v>374004</v>
      </c>
      <c r="H10" s="574">
        <v>2483</v>
      </c>
      <c r="I10" s="574">
        <f t="shared" ref="I10:I23" si="0">C10+E10+G10</f>
        <v>1195458</v>
      </c>
      <c r="J10" s="575" t="s">
        <v>30</v>
      </c>
    </row>
    <row r="11" spans="1:10" s="609" customFormat="1" ht="15.6" customHeight="1">
      <c r="A11" s="576" t="s">
        <v>3</v>
      </c>
      <c r="B11" s="577">
        <v>1767</v>
      </c>
      <c r="C11" s="578">
        <v>1032532</v>
      </c>
      <c r="D11" s="577">
        <v>1860</v>
      </c>
      <c r="E11" s="815">
        <v>1050192</v>
      </c>
      <c r="F11" s="577">
        <v>3</v>
      </c>
      <c r="G11" s="578">
        <v>1548</v>
      </c>
      <c r="H11" s="577">
        <v>3630</v>
      </c>
      <c r="I11" s="578">
        <f t="shared" si="0"/>
        <v>2084272</v>
      </c>
      <c r="J11" s="738" t="s">
        <v>15</v>
      </c>
    </row>
    <row r="12" spans="1:10" s="609" customFormat="1" ht="15.6" customHeight="1">
      <c r="A12" s="580" t="s">
        <v>319</v>
      </c>
      <c r="B12" s="573">
        <v>945</v>
      </c>
      <c r="C12" s="574">
        <v>609665</v>
      </c>
      <c r="D12" s="573">
        <v>561</v>
      </c>
      <c r="E12" s="816">
        <v>336678</v>
      </c>
      <c r="F12" s="573">
        <v>0</v>
      </c>
      <c r="G12" s="574">
        <v>0</v>
      </c>
      <c r="H12" s="574">
        <f t="shared" ref="H12:H23" si="1">B12+D12+F12</f>
        <v>1506</v>
      </c>
      <c r="I12" s="574">
        <f t="shared" si="0"/>
        <v>946343</v>
      </c>
      <c r="J12" s="581" t="s">
        <v>315</v>
      </c>
    </row>
    <row r="13" spans="1:10" s="609" customFormat="1" ht="15.6" customHeight="1">
      <c r="A13" s="576" t="s">
        <v>4</v>
      </c>
      <c r="B13" s="577">
        <v>882</v>
      </c>
      <c r="C13" s="578">
        <v>617343</v>
      </c>
      <c r="D13" s="577">
        <v>3784</v>
      </c>
      <c r="E13" s="815">
        <f>D13*538</f>
        <v>2035792</v>
      </c>
      <c r="F13" s="577">
        <v>16</v>
      </c>
      <c r="G13" s="578">
        <f>F13*474</f>
        <v>7584</v>
      </c>
      <c r="H13" s="577">
        <f t="shared" si="1"/>
        <v>4682</v>
      </c>
      <c r="I13" s="578">
        <f t="shared" si="0"/>
        <v>2660719</v>
      </c>
      <c r="J13" s="579" t="s">
        <v>16</v>
      </c>
    </row>
    <row r="14" spans="1:10" s="609" customFormat="1" ht="15.6" customHeight="1">
      <c r="A14" s="572" t="s">
        <v>5</v>
      </c>
      <c r="B14" s="573">
        <v>1012</v>
      </c>
      <c r="C14" s="574">
        <v>708715</v>
      </c>
      <c r="D14" s="573">
        <v>43</v>
      </c>
      <c r="E14" s="816">
        <v>26883</v>
      </c>
      <c r="F14" s="573">
        <v>1222</v>
      </c>
      <c r="G14" s="574">
        <v>647895</v>
      </c>
      <c r="H14" s="574">
        <f t="shared" si="1"/>
        <v>2277</v>
      </c>
      <c r="I14" s="574">
        <f t="shared" si="0"/>
        <v>1383493</v>
      </c>
      <c r="J14" s="575" t="s">
        <v>23</v>
      </c>
    </row>
    <row r="15" spans="1:10" s="609" customFormat="1" ht="15.6" customHeight="1">
      <c r="A15" s="576" t="s">
        <v>6</v>
      </c>
      <c r="B15" s="577">
        <v>749</v>
      </c>
      <c r="C15" s="578">
        <v>542626</v>
      </c>
      <c r="D15" s="577">
        <v>285</v>
      </c>
      <c r="E15" s="815">
        <v>189782</v>
      </c>
      <c r="F15" s="577">
        <v>2</v>
      </c>
      <c r="G15" s="578">
        <v>735</v>
      </c>
      <c r="H15" s="577">
        <f t="shared" si="1"/>
        <v>1036</v>
      </c>
      <c r="I15" s="578">
        <f t="shared" si="0"/>
        <v>733143</v>
      </c>
      <c r="J15" s="579" t="s">
        <v>379</v>
      </c>
    </row>
    <row r="16" spans="1:10" s="609" customFormat="1" ht="15.6" customHeight="1">
      <c r="A16" s="572" t="s">
        <v>11</v>
      </c>
      <c r="B16" s="573">
        <v>458</v>
      </c>
      <c r="C16" s="574">
        <v>272971</v>
      </c>
      <c r="D16" s="573">
        <v>745</v>
      </c>
      <c r="E16" s="816">
        <v>378416</v>
      </c>
      <c r="F16" s="573">
        <v>2</v>
      </c>
      <c r="G16" s="574">
        <v>728</v>
      </c>
      <c r="H16" s="574">
        <f t="shared" si="1"/>
        <v>1205</v>
      </c>
      <c r="I16" s="574">
        <f t="shared" si="0"/>
        <v>652115</v>
      </c>
      <c r="J16" s="575" t="s">
        <v>21</v>
      </c>
    </row>
    <row r="17" spans="1:10" s="609" customFormat="1" ht="17.399999999999999" customHeight="1">
      <c r="A17" s="576" t="s">
        <v>2</v>
      </c>
      <c r="B17" s="577">
        <v>495</v>
      </c>
      <c r="C17" s="578">
        <v>296987</v>
      </c>
      <c r="D17" s="577">
        <v>406</v>
      </c>
      <c r="E17" s="815">
        <v>194704</v>
      </c>
      <c r="F17" s="577">
        <v>365</v>
      </c>
      <c r="G17" s="578">
        <v>170856</v>
      </c>
      <c r="H17" s="577">
        <f t="shared" si="1"/>
        <v>1266</v>
      </c>
      <c r="I17" s="578">
        <f t="shared" si="0"/>
        <v>662547</v>
      </c>
      <c r="J17" s="579" t="s">
        <v>14</v>
      </c>
    </row>
    <row r="18" spans="1:10" s="609" customFormat="1" ht="15.6" customHeight="1">
      <c r="A18" s="572" t="s">
        <v>7</v>
      </c>
      <c r="B18" s="573">
        <v>239</v>
      </c>
      <c r="C18" s="574">
        <v>152975</v>
      </c>
      <c r="D18" s="573">
        <v>308</v>
      </c>
      <c r="E18" s="816">
        <v>153764</v>
      </c>
      <c r="F18" s="573">
        <v>0</v>
      </c>
      <c r="G18" s="574">
        <v>0</v>
      </c>
      <c r="H18" s="574">
        <f t="shared" si="1"/>
        <v>547</v>
      </c>
      <c r="I18" s="574">
        <f t="shared" si="0"/>
        <v>306739</v>
      </c>
      <c r="J18" s="575" t="s">
        <v>17</v>
      </c>
    </row>
    <row r="19" spans="1:10" s="609" customFormat="1" ht="15.6" customHeight="1">
      <c r="A19" s="576" t="s">
        <v>8</v>
      </c>
      <c r="B19" s="577">
        <v>18</v>
      </c>
      <c r="C19" s="578">
        <v>10414</v>
      </c>
      <c r="D19" s="577">
        <v>263</v>
      </c>
      <c r="E19" s="815">
        <v>133569</v>
      </c>
      <c r="F19" s="577">
        <v>0</v>
      </c>
      <c r="G19" s="578">
        <v>0</v>
      </c>
      <c r="H19" s="577">
        <f t="shared" si="1"/>
        <v>281</v>
      </c>
      <c r="I19" s="578">
        <f t="shared" si="0"/>
        <v>143983</v>
      </c>
      <c r="J19" s="579" t="s">
        <v>18</v>
      </c>
    </row>
    <row r="20" spans="1:10" s="609" customFormat="1" ht="15.6" customHeight="1">
      <c r="A20" s="572" t="s">
        <v>9</v>
      </c>
      <c r="B20" s="573">
        <v>195</v>
      </c>
      <c r="C20" s="574">
        <v>117096</v>
      </c>
      <c r="D20" s="573">
        <v>11</v>
      </c>
      <c r="E20" s="816">
        <v>5454</v>
      </c>
      <c r="F20" s="573">
        <v>14</v>
      </c>
      <c r="G20" s="574">
        <f>F20*474</f>
        <v>6636</v>
      </c>
      <c r="H20" s="574">
        <f t="shared" si="1"/>
        <v>220</v>
      </c>
      <c r="I20" s="574">
        <f t="shared" si="0"/>
        <v>129186</v>
      </c>
      <c r="J20" s="575" t="s">
        <v>19</v>
      </c>
    </row>
    <row r="21" spans="1:10" s="609" customFormat="1" ht="15.6" customHeight="1">
      <c r="A21" s="576" t="s">
        <v>10</v>
      </c>
      <c r="B21" s="577">
        <v>5970</v>
      </c>
      <c r="C21" s="578">
        <v>4298376</v>
      </c>
      <c r="D21" s="577">
        <v>1022</v>
      </c>
      <c r="E21" s="815">
        <v>651684</v>
      </c>
      <c r="F21" s="577">
        <v>1265</v>
      </c>
      <c r="G21" s="578">
        <v>632716</v>
      </c>
      <c r="H21" s="577">
        <f t="shared" si="1"/>
        <v>8257</v>
      </c>
      <c r="I21" s="578">
        <f t="shared" si="0"/>
        <v>5582776</v>
      </c>
      <c r="J21" s="579" t="s">
        <v>20</v>
      </c>
    </row>
    <row r="22" spans="1:10" s="609" customFormat="1" ht="15.6" customHeight="1">
      <c r="A22" s="572" t="s">
        <v>12</v>
      </c>
      <c r="B22" s="573">
        <v>0</v>
      </c>
      <c r="C22" s="574">
        <v>0</v>
      </c>
      <c r="D22" s="573">
        <v>0</v>
      </c>
      <c r="E22" s="816">
        <v>0</v>
      </c>
      <c r="F22" s="573">
        <v>15</v>
      </c>
      <c r="G22" s="574">
        <f>F22*474</f>
        <v>7110</v>
      </c>
      <c r="H22" s="574">
        <f t="shared" si="1"/>
        <v>15</v>
      </c>
      <c r="I22" s="574">
        <f t="shared" si="0"/>
        <v>7110</v>
      </c>
      <c r="J22" s="575" t="s">
        <v>24</v>
      </c>
    </row>
    <row r="23" spans="1:10" s="609" customFormat="1" ht="15.6" customHeight="1" thickBot="1">
      <c r="A23" s="817" t="s">
        <v>13</v>
      </c>
      <c r="B23" s="818">
        <v>2487</v>
      </c>
      <c r="C23" s="699">
        <v>1903430</v>
      </c>
      <c r="D23" s="818">
        <v>3574</v>
      </c>
      <c r="E23" s="819">
        <f>D23*538</f>
        <v>1922812</v>
      </c>
      <c r="F23" s="818">
        <v>3925</v>
      </c>
      <c r="G23" s="818">
        <f>F23*474</f>
        <v>1860450</v>
      </c>
      <c r="H23" s="699">
        <f t="shared" si="1"/>
        <v>9986</v>
      </c>
      <c r="I23" s="699">
        <f t="shared" si="0"/>
        <v>5686692</v>
      </c>
      <c r="J23" s="820" t="s">
        <v>22</v>
      </c>
    </row>
    <row r="24" spans="1:10" s="652" customFormat="1" ht="15" customHeight="1" thickBot="1">
      <c r="A24" s="821" t="s">
        <v>0</v>
      </c>
      <c r="B24" s="822">
        <f>SUM(B9:B23)</f>
        <v>15401</v>
      </c>
      <c r="C24" s="822">
        <f t="shared" ref="C24:I24" si="2">SUM(C9:C23)</f>
        <v>10668283</v>
      </c>
      <c r="D24" s="822">
        <f t="shared" si="2"/>
        <v>16497</v>
      </c>
      <c r="E24" s="822">
        <f t="shared" si="2"/>
        <v>8731830</v>
      </c>
      <c r="F24" s="822">
        <f>SUM(F9:F23)</f>
        <v>8135</v>
      </c>
      <c r="G24" s="822">
        <f t="shared" si="2"/>
        <v>3899725</v>
      </c>
      <c r="H24" s="822">
        <f t="shared" si="2"/>
        <v>40032</v>
      </c>
      <c r="I24" s="822">
        <f t="shared" si="2"/>
        <v>23299838</v>
      </c>
      <c r="J24" s="823" t="s">
        <v>1</v>
      </c>
    </row>
    <row r="25" spans="1:10" ht="13.8">
      <c r="A25" s="932"/>
      <c r="B25" s="932"/>
      <c r="C25" s="932"/>
      <c r="D25" s="932"/>
      <c r="E25" s="932"/>
      <c r="F25" s="932"/>
      <c r="G25" s="932"/>
      <c r="H25" s="932"/>
      <c r="J25" s="613"/>
    </row>
    <row r="26" spans="1:10" ht="15" customHeight="1">
      <c r="J26" s="591"/>
    </row>
    <row r="29" spans="1:10">
      <c r="D29" s="597"/>
    </row>
  </sheetData>
  <mergeCells count="14">
    <mergeCell ref="B6:C6"/>
    <mergeCell ref="D6:E6"/>
    <mergeCell ref="F6:G6"/>
    <mergeCell ref="A25:H25"/>
    <mergeCell ref="A1:J1"/>
    <mergeCell ref="I4:J4"/>
    <mergeCell ref="A4:B4"/>
    <mergeCell ref="B5:C5"/>
    <mergeCell ref="D5:E5"/>
    <mergeCell ref="F5:G5"/>
    <mergeCell ref="H5:I5"/>
    <mergeCell ref="G4:H4"/>
    <mergeCell ref="A2:I2"/>
    <mergeCell ref="H6:I6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8:J27"/>
  <sheetViews>
    <sheetView rightToLeft="1" view="pageBreakPreview" zoomScaleNormal="90" zoomScaleSheetLayoutView="100" workbookViewId="0">
      <selection activeCell="Q5" sqref="Q5"/>
    </sheetView>
  </sheetViews>
  <sheetFormatPr defaultRowHeight="13.2"/>
  <cols>
    <col min="1" max="1" width="7.33203125" customWidth="1"/>
    <col min="3" max="3" width="8.109375" customWidth="1"/>
    <col min="6" max="6" width="7.6640625" customWidth="1"/>
    <col min="8" max="8" width="7.109375" customWidth="1"/>
    <col min="9" max="9" width="7.6640625" customWidth="1"/>
    <col min="15" max="15" width="0.33203125" customWidth="1"/>
  </cols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honeticPr fontId="3" type="noConversion"/>
  <printOptions horizontalCentered="1" verticalCentered="1"/>
  <pageMargins left="0.49" right="0.47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7030A0"/>
  </sheetPr>
  <dimension ref="A1:Q27"/>
  <sheetViews>
    <sheetView rightToLeft="1" view="pageBreakPreview" zoomScaleNormal="80" zoomScaleSheetLayoutView="100" workbookViewId="0">
      <selection sqref="A1:J1"/>
    </sheetView>
  </sheetViews>
  <sheetFormatPr defaultRowHeight="13.2"/>
  <cols>
    <col min="1" max="1" width="13.88671875" customWidth="1"/>
    <col min="2" max="2" width="8" bestFit="1" customWidth="1"/>
    <col min="3" max="3" width="10.6640625" bestFit="1" customWidth="1"/>
    <col min="4" max="4" width="17.88671875" bestFit="1" customWidth="1"/>
    <col min="5" max="5" width="7" customWidth="1"/>
    <col min="6" max="6" width="10.77734375" customWidth="1"/>
    <col min="7" max="7" width="16.21875" customWidth="1"/>
    <col min="8" max="8" width="9" customWidth="1"/>
    <col min="9" max="9" width="10.6640625" bestFit="1" customWidth="1"/>
    <col min="10" max="10" width="17.33203125" customWidth="1"/>
    <col min="11" max="11" width="17.6640625" customWidth="1"/>
    <col min="12" max="12" width="12" bestFit="1" customWidth="1"/>
    <col min="13" max="13" width="17.88671875" bestFit="1" customWidth="1"/>
    <col min="14" max="14" width="19.33203125" customWidth="1"/>
  </cols>
  <sheetData>
    <row r="1" spans="1:17" ht="43.5" customHeight="1">
      <c r="A1" s="880" t="s">
        <v>486</v>
      </c>
      <c r="B1" s="880"/>
      <c r="C1" s="880"/>
      <c r="D1" s="880"/>
      <c r="E1" s="880"/>
      <c r="F1" s="880"/>
      <c r="G1" s="880"/>
      <c r="H1" s="880"/>
      <c r="I1" s="880"/>
      <c r="J1" s="880"/>
      <c r="K1" s="122" t="s">
        <v>288</v>
      </c>
    </row>
    <row r="2" spans="1:17" ht="15" customHeight="1">
      <c r="A2" s="887" t="s">
        <v>461</v>
      </c>
      <c r="B2" s="887"/>
      <c r="C2" s="887"/>
      <c r="D2" s="887"/>
      <c r="E2" s="887"/>
      <c r="F2" s="887"/>
      <c r="G2" s="887"/>
      <c r="H2" s="887"/>
      <c r="I2" s="887"/>
      <c r="J2" s="887"/>
      <c r="K2" s="887"/>
    </row>
    <row r="3" spans="1:17" ht="15.75" customHeight="1" thickBot="1">
      <c r="A3" s="647" t="s">
        <v>382</v>
      </c>
      <c r="B3" s="532"/>
      <c r="C3" s="532"/>
      <c r="D3" s="532"/>
      <c r="E3" s="532"/>
      <c r="F3" s="532"/>
      <c r="G3" s="532"/>
      <c r="H3" s="532"/>
      <c r="I3" s="532"/>
      <c r="K3" s="20" t="s">
        <v>82</v>
      </c>
    </row>
    <row r="4" spans="1:17" ht="18.75" customHeight="1" thickTop="1">
      <c r="A4" s="540"/>
      <c r="B4" s="881" t="s">
        <v>80</v>
      </c>
      <c r="C4" s="881"/>
      <c r="D4" s="882"/>
      <c r="E4" s="881" t="s">
        <v>81</v>
      </c>
      <c r="F4" s="881"/>
      <c r="G4" s="882"/>
      <c r="H4" s="881" t="s">
        <v>175</v>
      </c>
      <c r="I4" s="881"/>
      <c r="J4" s="882"/>
      <c r="K4" s="533"/>
      <c r="L4" s="4"/>
      <c r="M4" s="4"/>
    </row>
    <row r="5" spans="1:17" ht="14.25" customHeight="1">
      <c r="A5" s="888" t="s">
        <v>381</v>
      </c>
      <c r="B5" s="885" t="s">
        <v>146</v>
      </c>
      <c r="C5" s="885"/>
      <c r="D5" s="886"/>
      <c r="E5" s="883" t="s">
        <v>275</v>
      </c>
      <c r="F5" s="883"/>
      <c r="G5" s="884"/>
      <c r="H5" s="527"/>
      <c r="I5" s="529" t="s">
        <v>1</v>
      </c>
      <c r="J5" s="552"/>
      <c r="K5" s="890" t="s">
        <v>294</v>
      </c>
    </row>
    <row r="6" spans="1:17" ht="39" customHeight="1">
      <c r="A6" s="888"/>
      <c r="B6" s="526" t="s">
        <v>26</v>
      </c>
      <c r="C6" s="526" t="s">
        <v>186</v>
      </c>
      <c r="D6" s="545" t="s">
        <v>178</v>
      </c>
      <c r="E6" s="526" t="s">
        <v>26</v>
      </c>
      <c r="F6" s="526" t="s">
        <v>186</v>
      </c>
      <c r="G6" s="545" t="s">
        <v>178</v>
      </c>
      <c r="H6" s="526" t="s">
        <v>26</v>
      </c>
      <c r="I6" s="526" t="s">
        <v>186</v>
      </c>
      <c r="J6" s="545" t="s">
        <v>178</v>
      </c>
      <c r="K6" s="890"/>
    </row>
    <row r="7" spans="1:17" ht="44.25" customHeight="1">
      <c r="A7" s="888"/>
      <c r="B7" s="178"/>
      <c r="C7" s="528" t="s">
        <v>124</v>
      </c>
      <c r="D7" s="546" t="s">
        <v>145</v>
      </c>
      <c r="E7" s="178"/>
      <c r="F7" s="528" t="s">
        <v>124</v>
      </c>
      <c r="G7" s="546" t="s">
        <v>83</v>
      </c>
      <c r="H7" s="178"/>
      <c r="I7" s="528" t="s">
        <v>124</v>
      </c>
      <c r="J7" s="546" t="s">
        <v>145</v>
      </c>
      <c r="K7" s="890"/>
    </row>
    <row r="8" spans="1:17" ht="16.5" customHeight="1" thickBot="1">
      <c r="A8" s="889"/>
      <c r="B8" s="28" t="s">
        <v>120</v>
      </c>
      <c r="C8" s="28" t="s">
        <v>119</v>
      </c>
      <c r="D8" s="547"/>
      <c r="E8" s="28" t="s">
        <v>120</v>
      </c>
      <c r="F8" s="28" t="s">
        <v>119</v>
      </c>
      <c r="G8" s="547"/>
      <c r="H8" s="28" t="s">
        <v>120</v>
      </c>
      <c r="I8" s="28" t="s">
        <v>119</v>
      </c>
      <c r="J8" s="553"/>
      <c r="K8" s="891"/>
    </row>
    <row r="9" spans="1:17" s="166" customFormat="1" ht="19.5" customHeight="1" thickTop="1">
      <c r="A9" s="541" t="s">
        <v>241</v>
      </c>
      <c r="B9" s="242">
        <v>10175</v>
      </c>
      <c r="C9" s="242">
        <v>2644532</v>
      </c>
      <c r="D9" s="548">
        <v>1011711383.2539999</v>
      </c>
      <c r="E9" s="242">
        <v>2339</v>
      </c>
      <c r="F9" s="242">
        <v>34444568</v>
      </c>
      <c r="G9" s="548">
        <v>137949073.34999999</v>
      </c>
      <c r="H9" s="242">
        <f>B9+E9</f>
        <v>12514</v>
      </c>
      <c r="I9" s="242">
        <f>C9+F9</f>
        <v>37089100</v>
      </c>
      <c r="J9" s="548">
        <f t="shared" ref="J9:J14" si="0">(D9+G9)/1000</f>
        <v>1149660.4566039999</v>
      </c>
      <c r="K9" s="534" t="s">
        <v>242</v>
      </c>
      <c r="M9" s="244"/>
    </row>
    <row r="10" spans="1:17" s="166" customFormat="1" ht="21" customHeight="1">
      <c r="A10" s="542" t="s">
        <v>243</v>
      </c>
      <c r="B10" s="122">
        <v>15</v>
      </c>
      <c r="C10" s="122">
        <v>8041</v>
      </c>
      <c r="D10" s="549">
        <v>12223401</v>
      </c>
      <c r="E10" s="122">
        <v>0</v>
      </c>
      <c r="F10" s="122">
        <v>0</v>
      </c>
      <c r="G10" s="549">
        <v>0</v>
      </c>
      <c r="H10" s="122">
        <f t="shared" ref="H10:H14" si="1">B10+E10</f>
        <v>15</v>
      </c>
      <c r="I10" s="122">
        <f t="shared" ref="I10:I14" si="2">C10+F10</f>
        <v>8041</v>
      </c>
      <c r="J10" s="549">
        <f t="shared" si="0"/>
        <v>12223.401</v>
      </c>
      <c r="K10" s="535" t="s">
        <v>172</v>
      </c>
      <c r="M10" s="244"/>
    </row>
    <row r="11" spans="1:17" s="166" customFormat="1" ht="25.5" customHeight="1">
      <c r="A11" s="543" t="s">
        <v>244</v>
      </c>
      <c r="B11" s="247">
        <v>453</v>
      </c>
      <c r="C11" s="247">
        <v>194658</v>
      </c>
      <c r="D11" s="550">
        <v>265505603.30000001</v>
      </c>
      <c r="E11" s="247">
        <v>43</v>
      </c>
      <c r="F11" s="247">
        <v>15618</v>
      </c>
      <c r="G11" s="550">
        <v>6439234.5</v>
      </c>
      <c r="H11" s="247">
        <f t="shared" si="1"/>
        <v>496</v>
      </c>
      <c r="I11" s="247">
        <f t="shared" si="2"/>
        <v>210276</v>
      </c>
      <c r="J11" s="550">
        <f t="shared" si="0"/>
        <v>271944.83780000004</v>
      </c>
      <c r="K11" s="536" t="s">
        <v>245</v>
      </c>
      <c r="M11" s="844"/>
      <c r="N11" s="110"/>
      <c r="O11" s="110"/>
    </row>
    <row r="12" spans="1:17" s="166" customFormat="1" ht="15" customHeight="1">
      <c r="A12" s="542" t="s">
        <v>246</v>
      </c>
      <c r="B12" s="122">
        <v>23</v>
      </c>
      <c r="C12" s="122">
        <v>28234</v>
      </c>
      <c r="D12" s="549">
        <v>11422585.5</v>
      </c>
      <c r="E12" s="122">
        <v>1</v>
      </c>
      <c r="F12" s="122">
        <v>2961</v>
      </c>
      <c r="G12" s="549">
        <v>888444</v>
      </c>
      <c r="H12" s="122">
        <f t="shared" si="1"/>
        <v>24</v>
      </c>
      <c r="I12" s="122">
        <f t="shared" si="2"/>
        <v>31195</v>
      </c>
      <c r="J12" s="549">
        <f t="shared" si="0"/>
        <v>12311.029500000001</v>
      </c>
      <c r="K12" s="535" t="s">
        <v>247</v>
      </c>
      <c r="M12" s="244"/>
    </row>
    <row r="13" spans="1:17" s="166" customFormat="1" ht="21" customHeight="1">
      <c r="A13" s="543" t="s">
        <v>248</v>
      </c>
      <c r="B13" s="247">
        <v>38</v>
      </c>
      <c r="C13" s="247">
        <v>67609</v>
      </c>
      <c r="D13" s="550">
        <v>23452106.699999999</v>
      </c>
      <c r="E13" s="247">
        <v>5</v>
      </c>
      <c r="F13" s="247">
        <v>248</v>
      </c>
      <c r="G13" s="550">
        <v>180510</v>
      </c>
      <c r="H13" s="247">
        <f t="shared" si="1"/>
        <v>43</v>
      </c>
      <c r="I13" s="247">
        <f t="shared" si="2"/>
        <v>67857</v>
      </c>
      <c r="J13" s="550">
        <f t="shared" si="0"/>
        <v>23632.616699999999</v>
      </c>
      <c r="K13" s="536" t="s">
        <v>245</v>
      </c>
      <c r="M13" s="244"/>
      <c r="Q13" s="846"/>
    </row>
    <row r="14" spans="1:17" s="166" customFormat="1" ht="15.75" customHeight="1" thickBot="1">
      <c r="A14" s="847" t="s">
        <v>249</v>
      </c>
      <c r="B14" s="848">
        <v>68</v>
      </c>
      <c r="C14" s="848">
        <v>142503</v>
      </c>
      <c r="D14" s="849">
        <v>38498244</v>
      </c>
      <c r="E14" s="848">
        <v>5</v>
      </c>
      <c r="F14" s="848">
        <v>1569</v>
      </c>
      <c r="G14" s="849">
        <v>596410</v>
      </c>
      <c r="H14" s="848">
        <f t="shared" si="1"/>
        <v>73</v>
      </c>
      <c r="I14" s="848">
        <f t="shared" si="2"/>
        <v>144072</v>
      </c>
      <c r="J14" s="849">
        <f t="shared" si="0"/>
        <v>39094.654000000002</v>
      </c>
      <c r="K14" s="850" t="s">
        <v>173</v>
      </c>
      <c r="M14" s="244"/>
    </row>
    <row r="15" spans="1:17" s="166" customFormat="1" ht="21" customHeight="1" thickTop="1" thickBot="1">
      <c r="A15" s="544" t="s">
        <v>250</v>
      </c>
      <c r="B15" s="537">
        <f>SUM(B9:B14)</f>
        <v>10772</v>
      </c>
      <c r="C15" s="538">
        <f t="shared" ref="C15:J15" si="3">SUM(C9:C14)</f>
        <v>3085577</v>
      </c>
      <c r="D15" s="551">
        <f t="shared" si="3"/>
        <v>1362813323.7539999</v>
      </c>
      <c r="E15" s="538">
        <f t="shared" si="3"/>
        <v>2393</v>
      </c>
      <c r="F15" s="538">
        <f t="shared" si="3"/>
        <v>34464964</v>
      </c>
      <c r="G15" s="539">
        <f t="shared" si="3"/>
        <v>146053671.84999999</v>
      </c>
      <c r="H15" s="538">
        <f>SUM(H9:H14)</f>
        <v>13165</v>
      </c>
      <c r="I15" s="538">
        <f t="shared" si="3"/>
        <v>37550541</v>
      </c>
      <c r="J15" s="539">
        <f t="shared" si="3"/>
        <v>1508866.9956040001</v>
      </c>
      <c r="K15" s="539" t="s">
        <v>102</v>
      </c>
    </row>
    <row r="16" spans="1:17" ht="13.8" thickTop="1">
      <c r="A16" s="146"/>
      <c r="B16" s="146"/>
      <c r="C16" s="146"/>
      <c r="D16" s="146"/>
      <c r="E16" s="146"/>
      <c r="F16" s="146"/>
      <c r="G16" s="146"/>
      <c r="H16" s="146"/>
      <c r="I16" s="146"/>
      <c r="J16" s="132"/>
    </row>
    <row r="17" spans="1:11" ht="13.5" customHeight="1">
      <c r="A17" s="146"/>
      <c r="B17" s="556"/>
      <c r="C17" s="556"/>
      <c r="D17" s="556"/>
      <c r="E17" s="556"/>
      <c r="F17" s="556"/>
      <c r="G17" s="556"/>
      <c r="H17" s="556"/>
      <c r="I17" s="556"/>
      <c r="J17" s="556"/>
    </row>
    <row r="18" spans="1:11">
      <c r="A18" s="5"/>
      <c r="B18" s="5"/>
      <c r="C18" s="615"/>
      <c r="D18" s="5"/>
      <c r="E18" s="5"/>
      <c r="F18" s="5"/>
      <c r="G18" s="5"/>
      <c r="H18" s="5"/>
      <c r="I18" s="5"/>
      <c r="J18" s="5"/>
    </row>
    <row r="19" spans="1:11" ht="15">
      <c r="B19" s="507"/>
      <c r="C19" s="507"/>
      <c r="D19" s="507"/>
      <c r="E19" s="4"/>
      <c r="F19" s="5"/>
      <c r="G19" s="5"/>
      <c r="H19" s="5"/>
      <c r="I19" s="5"/>
      <c r="J19" s="5"/>
      <c r="K19" s="133"/>
    </row>
    <row r="20" spans="1:11">
      <c r="A20" s="8"/>
      <c r="B20" s="8"/>
      <c r="C20" s="8"/>
      <c r="E20" s="4"/>
      <c r="F20" s="8"/>
    </row>
    <row r="21" spans="1:11">
      <c r="C21" s="3"/>
      <c r="D21" s="3"/>
      <c r="E21" s="4"/>
    </row>
    <row r="22" spans="1:11">
      <c r="C22" s="3"/>
      <c r="D22" s="3"/>
      <c r="E22" s="4"/>
    </row>
    <row r="23" spans="1:11">
      <c r="C23" s="3"/>
      <c r="D23" s="3"/>
    </row>
    <row r="24" spans="1:11">
      <c r="C24" s="3"/>
      <c r="D24" s="3"/>
    </row>
    <row r="25" spans="1:11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1">
      <c r="A26" s="587"/>
      <c r="B26" s="587"/>
      <c r="C26" s="587"/>
      <c r="D26" s="587"/>
      <c r="E26" s="587"/>
      <c r="F26" s="587"/>
      <c r="G26" s="587"/>
      <c r="H26" s="587"/>
      <c r="I26" s="593"/>
      <c r="J26" s="587"/>
    </row>
    <row r="27" spans="1:11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mergeCells count="9">
    <mergeCell ref="A1:J1"/>
    <mergeCell ref="B4:D4"/>
    <mergeCell ref="E4:G4"/>
    <mergeCell ref="H4:J4"/>
    <mergeCell ref="E5:G5"/>
    <mergeCell ref="B5:D5"/>
    <mergeCell ref="A2:K2"/>
    <mergeCell ref="A5:A8"/>
    <mergeCell ref="K5:K8"/>
  </mergeCells>
  <phoneticPr fontId="3" type="noConversion"/>
  <printOptions horizontalCentered="1" verticalCentered="1"/>
  <pageMargins left="0.23622047244094491" right="0.3" top="1.6929527559055118" bottom="1.8110236220472442" header="0.19685039370078741" footer="0.78740157480314965"/>
  <pageSetup scale="8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AL31"/>
  <sheetViews>
    <sheetView rightToLeft="1" view="pageBreakPreview" zoomScaleNormal="100" zoomScaleSheetLayoutView="100" workbookViewId="0">
      <selection activeCell="A2" sqref="A2:H2"/>
    </sheetView>
  </sheetViews>
  <sheetFormatPr defaultRowHeight="13.2"/>
  <cols>
    <col min="1" max="1" width="11.109375" customWidth="1"/>
    <col min="2" max="2" width="12" customWidth="1"/>
    <col min="3" max="3" width="15" customWidth="1"/>
    <col min="4" max="4" width="12.5546875" customWidth="1"/>
    <col min="5" max="5" width="14.44140625" customWidth="1"/>
    <col min="6" max="6" width="12.44140625" customWidth="1"/>
    <col min="7" max="7" width="15.44140625" customWidth="1"/>
    <col min="8" max="8" width="21" customWidth="1"/>
    <col min="9" max="9" width="9.44140625" customWidth="1"/>
  </cols>
  <sheetData>
    <row r="1" spans="1:38" ht="13.8">
      <c r="A1" s="893" t="s">
        <v>452</v>
      </c>
      <c r="B1" s="893"/>
      <c r="C1" s="893"/>
      <c r="D1" s="893"/>
      <c r="E1" s="893"/>
      <c r="F1" s="893"/>
      <c r="G1" s="893"/>
      <c r="H1" s="893"/>
    </row>
    <row r="2" spans="1:38" ht="13.8">
      <c r="A2" s="883" t="s">
        <v>476</v>
      </c>
      <c r="B2" s="883"/>
      <c r="C2" s="883"/>
      <c r="D2" s="883"/>
      <c r="E2" s="883"/>
      <c r="F2" s="883"/>
      <c r="G2" s="883"/>
      <c r="H2" s="883"/>
    </row>
    <row r="3" spans="1:38" s="4" customFormat="1" ht="13.8">
      <c r="A3" s="134"/>
      <c r="B3" s="134"/>
      <c r="C3" s="134"/>
      <c r="D3" s="134"/>
      <c r="E3" s="134"/>
      <c r="F3" s="134"/>
      <c r="G3" s="940" t="s">
        <v>193</v>
      </c>
      <c r="H3" s="940"/>
    </row>
    <row r="4" spans="1:38" ht="15.75" customHeight="1" thickBot="1">
      <c r="A4" s="905" t="s">
        <v>405</v>
      </c>
      <c r="B4" s="905"/>
      <c r="C4" s="25" t="s">
        <v>210</v>
      </c>
      <c r="E4" s="11"/>
      <c r="F4" s="11"/>
      <c r="G4" s="119" t="s">
        <v>135</v>
      </c>
      <c r="H4" s="152" t="s">
        <v>406</v>
      </c>
    </row>
    <row r="5" spans="1:38" s="168" customFormat="1" ht="15" customHeight="1">
      <c r="A5" s="175"/>
      <c r="B5" s="169" t="s">
        <v>205</v>
      </c>
      <c r="C5" s="169"/>
      <c r="D5" s="82" t="s">
        <v>206</v>
      </c>
      <c r="E5" s="169"/>
      <c r="F5" s="939" t="s">
        <v>208</v>
      </c>
      <c r="G5" s="939"/>
      <c r="H5" s="175"/>
    </row>
    <row r="6" spans="1:38" ht="15" customHeight="1">
      <c r="A6" s="26"/>
      <c r="B6" s="24" t="s">
        <v>284</v>
      </c>
      <c r="C6" s="24"/>
      <c r="D6" s="402" t="s">
        <v>207</v>
      </c>
      <c r="E6" s="24"/>
      <c r="F6" s="883" t="s">
        <v>209</v>
      </c>
      <c r="G6" s="883"/>
      <c r="H6" s="26"/>
    </row>
    <row r="7" spans="1:38" s="110" customFormat="1" ht="15" customHeight="1" thickBot="1">
      <c r="A7" s="179"/>
      <c r="B7" s="113" t="s">
        <v>181</v>
      </c>
      <c r="C7" s="113" t="s">
        <v>215</v>
      </c>
      <c r="D7" s="113" t="s">
        <v>181</v>
      </c>
      <c r="E7" s="113" t="s">
        <v>215</v>
      </c>
      <c r="F7" s="113" t="s">
        <v>181</v>
      </c>
      <c r="G7" s="113" t="s">
        <v>215</v>
      </c>
      <c r="H7" s="179"/>
    </row>
    <row r="8" spans="1:38" s="187" customFormat="1" ht="15" customHeight="1" thickBot="1">
      <c r="A8" s="184" t="s">
        <v>55</v>
      </c>
      <c r="B8" s="185" t="s">
        <v>121</v>
      </c>
      <c r="C8" s="185" t="s">
        <v>28</v>
      </c>
      <c r="D8" s="185" t="s">
        <v>121</v>
      </c>
      <c r="E8" s="185" t="s">
        <v>28</v>
      </c>
      <c r="F8" s="185" t="s">
        <v>121</v>
      </c>
      <c r="G8" s="185" t="s">
        <v>28</v>
      </c>
      <c r="H8" s="186" t="s">
        <v>25</v>
      </c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</row>
    <row r="9" spans="1:38" s="181" customFormat="1" ht="15" customHeight="1">
      <c r="A9" s="232" t="s">
        <v>328</v>
      </c>
      <c r="B9" s="48">
        <v>34782</v>
      </c>
      <c r="C9" s="48">
        <v>1067502</v>
      </c>
      <c r="D9" s="48">
        <v>10311</v>
      </c>
      <c r="E9" s="48">
        <v>337118</v>
      </c>
      <c r="F9" s="48">
        <f>B9+D9</f>
        <v>45093</v>
      </c>
      <c r="G9" s="48">
        <f>C9+E9</f>
        <v>1404620</v>
      </c>
      <c r="H9" s="237" t="s">
        <v>378</v>
      </c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</row>
    <row r="10" spans="1:38" s="167" customFormat="1" ht="15" customHeight="1">
      <c r="A10" s="514" t="s">
        <v>29</v>
      </c>
      <c r="B10" s="46">
        <v>5759</v>
      </c>
      <c r="C10" s="47">
        <f>B10*27</f>
        <v>155493</v>
      </c>
      <c r="D10" s="46">
        <v>35998</v>
      </c>
      <c r="E10" s="46">
        <f>D10*29</f>
        <v>1043942</v>
      </c>
      <c r="F10" s="46">
        <f t="shared" ref="F10:F23" si="0">B10+D10</f>
        <v>41757</v>
      </c>
      <c r="G10" s="46">
        <f t="shared" ref="G10:G23" si="1">C10+E10</f>
        <v>1199435</v>
      </c>
      <c r="H10" s="7" t="s">
        <v>30</v>
      </c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</row>
    <row r="11" spans="1:38" s="110" customFormat="1" ht="15" customHeight="1">
      <c r="A11" s="232" t="s">
        <v>3</v>
      </c>
      <c r="B11" s="48">
        <v>48626</v>
      </c>
      <c r="C11" s="111">
        <f>B11*27</f>
        <v>1312902</v>
      </c>
      <c r="D11" s="48">
        <v>59113</v>
      </c>
      <c r="E11" s="46">
        <f>D11*29</f>
        <v>1714277</v>
      </c>
      <c r="F11" s="48">
        <f t="shared" si="0"/>
        <v>107739</v>
      </c>
      <c r="G11" s="48">
        <f t="shared" si="1"/>
        <v>3027179</v>
      </c>
      <c r="H11" s="237" t="s">
        <v>15</v>
      </c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</row>
    <row r="12" spans="1:38" s="167" customFormat="1" ht="15" customHeight="1">
      <c r="A12" s="514" t="s">
        <v>314</v>
      </c>
      <c r="B12" s="46">
        <v>1416</v>
      </c>
      <c r="C12" s="47">
        <v>42848</v>
      </c>
      <c r="D12" s="46">
        <v>49074</v>
      </c>
      <c r="E12" s="46">
        <v>1477971</v>
      </c>
      <c r="F12" s="46">
        <f t="shared" si="0"/>
        <v>50490</v>
      </c>
      <c r="G12" s="46">
        <f t="shared" si="1"/>
        <v>1520819</v>
      </c>
      <c r="H12" s="7" t="s">
        <v>315</v>
      </c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</row>
    <row r="13" spans="1:38" s="110" customFormat="1" ht="15" customHeight="1" thickBot="1">
      <c r="A13" s="232" t="s">
        <v>4</v>
      </c>
      <c r="B13" s="48">
        <v>65342</v>
      </c>
      <c r="C13" s="111">
        <f>B13*27</f>
        <v>1764234</v>
      </c>
      <c r="D13" s="48">
        <v>0</v>
      </c>
      <c r="E13" s="48">
        <v>0</v>
      </c>
      <c r="F13" s="48">
        <f t="shared" si="0"/>
        <v>65342</v>
      </c>
      <c r="G13" s="48">
        <f t="shared" si="1"/>
        <v>1764234</v>
      </c>
      <c r="H13" s="237" t="s">
        <v>16</v>
      </c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</row>
    <row r="14" spans="1:38" s="183" customFormat="1" ht="18.75" customHeight="1" thickBot="1">
      <c r="A14" s="514" t="s">
        <v>5</v>
      </c>
      <c r="B14" s="46">
        <v>0</v>
      </c>
      <c r="C14" s="46">
        <v>0</v>
      </c>
      <c r="D14" s="46">
        <v>0</v>
      </c>
      <c r="E14" s="46">
        <v>0</v>
      </c>
      <c r="F14" s="46">
        <f t="shared" si="0"/>
        <v>0</v>
      </c>
      <c r="G14" s="46">
        <f t="shared" si="1"/>
        <v>0</v>
      </c>
      <c r="H14" s="7" t="s">
        <v>23</v>
      </c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</row>
    <row r="15" spans="1:38" ht="13.8">
      <c r="A15" s="232" t="s">
        <v>6</v>
      </c>
      <c r="B15" s="48">
        <v>0</v>
      </c>
      <c r="C15" s="48">
        <v>0</v>
      </c>
      <c r="D15" s="48">
        <v>45203</v>
      </c>
      <c r="E15" s="48">
        <f>D15*29</f>
        <v>1310887</v>
      </c>
      <c r="F15" s="48">
        <f t="shared" si="0"/>
        <v>45203</v>
      </c>
      <c r="G15" s="48">
        <f t="shared" si="1"/>
        <v>1310887</v>
      </c>
      <c r="H15" s="237" t="s">
        <v>379</v>
      </c>
    </row>
    <row r="16" spans="1:38" ht="15" customHeight="1">
      <c r="A16" s="514" t="s">
        <v>11</v>
      </c>
      <c r="B16" s="46">
        <v>0</v>
      </c>
      <c r="C16" s="46">
        <v>0</v>
      </c>
      <c r="D16" s="46">
        <v>0</v>
      </c>
      <c r="E16" s="46">
        <v>0</v>
      </c>
      <c r="F16" s="46">
        <f t="shared" si="0"/>
        <v>0</v>
      </c>
      <c r="G16" s="46">
        <f t="shared" si="1"/>
        <v>0</v>
      </c>
      <c r="H16" s="7" t="s">
        <v>21</v>
      </c>
    </row>
    <row r="17" spans="1:10" ht="15" customHeight="1">
      <c r="A17" s="232" t="s">
        <v>2</v>
      </c>
      <c r="B17" s="48">
        <v>5327</v>
      </c>
      <c r="C17" s="48">
        <f>B17*27</f>
        <v>143829</v>
      </c>
      <c r="D17" s="48">
        <v>66</v>
      </c>
      <c r="E17" s="48">
        <f>D17*29</f>
        <v>1914</v>
      </c>
      <c r="F17" s="48">
        <f t="shared" si="0"/>
        <v>5393</v>
      </c>
      <c r="G17" s="48">
        <f t="shared" si="1"/>
        <v>145743</v>
      </c>
      <c r="H17" s="237" t="s">
        <v>14</v>
      </c>
    </row>
    <row r="18" spans="1:10" ht="13.8">
      <c r="A18" s="514" t="s">
        <v>7</v>
      </c>
      <c r="B18" s="46">
        <v>0</v>
      </c>
      <c r="C18" s="777">
        <v>0</v>
      </c>
      <c r="D18" s="46">
        <v>0</v>
      </c>
      <c r="E18" s="46">
        <v>0</v>
      </c>
      <c r="F18" s="46">
        <f t="shared" si="0"/>
        <v>0</v>
      </c>
      <c r="G18" s="46">
        <f t="shared" si="1"/>
        <v>0</v>
      </c>
      <c r="H18" s="7" t="s">
        <v>17</v>
      </c>
    </row>
    <row r="19" spans="1:10" ht="13.8">
      <c r="A19" s="232" t="s">
        <v>8</v>
      </c>
      <c r="B19" s="48">
        <v>0</v>
      </c>
      <c r="C19" s="48">
        <v>0</v>
      </c>
      <c r="D19" s="48">
        <v>0</v>
      </c>
      <c r="E19" s="48">
        <v>0</v>
      </c>
      <c r="F19" s="48">
        <f t="shared" si="0"/>
        <v>0</v>
      </c>
      <c r="G19" s="48">
        <f t="shared" si="1"/>
        <v>0</v>
      </c>
      <c r="H19" s="237" t="s">
        <v>18</v>
      </c>
    </row>
    <row r="20" spans="1:10" ht="13.8">
      <c r="A20" s="514" t="s">
        <v>9</v>
      </c>
      <c r="B20" s="46">
        <v>0</v>
      </c>
      <c r="C20" s="46">
        <v>0</v>
      </c>
      <c r="D20" s="46">
        <v>0</v>
      </c>
      <c r="E20" s="46">
        <v>0</v>
      </c>
      <c r="F20" s="46">
        <f t="shared" si="0"/>
        <v>0</v>
      </c>
      <c r="G20" s="46">
        <f t="shared" si="1"/>
        <v>0</v>
      </c>
      <c r="H20" s="7" t="s">
        <v>19</v>
      </c>
    </row>
    <row r="21" spans="1:10" ht="13.8">
      <c r="A21" s="232" t="s">
        <v>10</v>
      </c>
      <c r="B21" s="48">
        <v>0</v>
      </c>
      <c r="C21" s="48">
        <v>0</v>
      </c>
      <c r="D21" s="48">
        <v>0</v>
      </c>
      <c r="E21" s="48">
        <v>0</v>
      </c>
      <c r="F21" s="48">
        <f t="shared" si="0"/>
        <v>0</v>
      </c>
      <c r="G21" s="48">
        <f t="shared" si="1"/>
        <v>0</v>
      </c>
      <c r="H21" s="237" t="s">
        <v>20</v>
      </c>
    </row>
    <row r="22" spans="1:10" ht="13.8">
      <c r="A22" s="514" t="s">
        <v>12</v>
      </c>
      <c r="B22" s="46">
        <v>0</v>
      </c>
      <c r="C22" s="46">
        <v>0</v>
      </c>
      <c r="D22" s="46">
        <v>0</v>
      </c>
      <c r="E22" s="46">
        <v>0</v>
      </c>
      <c r="F22" s="46">
        <f t="shared" si="0"/>
        <v>0</v>
      </c>
      <c r="G22" s="46">
        <f t="shared" si="1"/>
        <v>0</v>
      </c>
      <c r="H22" s="7" t="s">
        <v>24</v>
      </c>
    </row>
    <row r="23" spans="1:10" ht="14.4" thickBot="1">
      <c r="A23" s="232" t="s">
        <v>13</v>
      </c>
      <c r="B23" s="48">
        <v>0</v>
      </c>
      <c r="C23" s="48">
        <v>0</v>
      </c>
      <c r="D23" s="48">
        <v>0</v>
      </c>
      <c r="E23" s="48">
        <v>0</v>
      </c>
      <c r="F23" s="48">
        <f t="shared" si="0"/>
        <v>0</v>
      </c>
      <c r="G23" s="48">
        <f t="shared" si="1"/>
        <v>0</v>
      </c>
      <c r="H23" s="237" t="s">
        <v>22</v>
      </c>
    </row>
    <row r="24" spans="1:10" ht="14.4" thickBot="1">
      <c r="A24" s="515" t="s">
        <v>0</v>
      </c>
      <c r="B24" s="516">
        <f>SUM(B9:B23)</f>
        <v>161252</v>
      </c>
      <c r="C24" s="516">
        <f t="shared" ref="C24:G24" si="2">SUM(C9:C23)</f>
        <v>4486808</v>
      </c>
      <c r="D24" s="516">
        <f t="shared" si="2"/>
        <v>199765</v>
      </c>
      <c r="E24" s="516">
        <f t="shared" si="2"/>
        <v>5886109</v>
      </c>
      <c r="F24" s="516">
        <f t="shared" si="2"/>
        <v>361017</v>
      </c>
      <c r="G24" s="516">
        <f t="shared" si="2"/>
        <v>10372917</v>
      </c>
      <c r="H24" s="186" t="s">
        <v>1</v>
      </c>
    </row>
    <row r="25" spans="1:10">
      <c r="A25" s="587"/>
      <c r="B25" s="587"/>
      <c r="C25" s="610"/>
      <c r="D25" s="587"/>
      <c r="E25" s="610"/>
      <c r="F25" s="587"/>
      <c r="G25" s="611"/>
      <c r="H25" s="587"/>
      <c r="I25" s="587"/>
      <c r="J25" s="587"/>
    </row>
    <row r="26" spans="1:10">
      <c r="A26" s="587"/>
      <c r="B26" s="587"/>
      <c r="C26" s="611"/>
      <c r="D26" s="587"/>
      <c r="E26" s="611"/>
      <c r="F26" s="610"/>
      <c r="G26" s="611"/>
      <c r="H26" s="587"/>
      <c r="I26" s="587"/>
      <c r="J26" s="587"/>
    </row>
    <row r="27" spans="1:10">
      <c r="A27" s="587"/>
      <c r="B27" s="587"/>
      <c r="C27" s="612"/>
      <c r="D27" s="587"/>
      <c r="E27" s="612"/>
      <c r="F27" s="587"/>
      <c r="G27" s="587"/>
      <c r="H27" s="587"/>
      <c r="I27" s="587"/>
      <c r="J27" s="587"/>
    </row>
    <row r="28" spans="1:10">
      <c r="A28" s="4"/>
    </row>
    <row r="29" spans="1:10">
      <c r="A29" s="4"/>
    </row>
    <row r="30" spans="1:10">
      <c r="A30" s="4"/>
    </row>
    <row r="31" spans="1:10">
      <c r="A31" s="4"/>
    </row>
  </sheetData>
  <mergeCells count="6">
    <mergeCell ref="F6:G6"/>
    <mergeCell ref="F5:G5"/>
    <mergeCell ref="G3:H3"/>
    <mergeCell ref="A1:H1"/>
    <mergeCell ref="A2:H2"/>
    <mergeCell ref="A4:B4"/>
  </mergeCells>
  <phoneticPr fontId="3" type="noConversion"/>
  <printOptions horizontalCentered="1" verticalCentered="1"/>
  <pageMargins left="0.23622047244094491" right="1.48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O27"/>
  <sheetViews>
    <sheetView rightToLeft="1" view="pageBreakPreview" zoomScale="98" zoomScaleNormal="100" zoomScaleSheetLayoutView="98" workbookViewId="0">
      <selection activeCell="E4" sqref="E4"/>
    </sheetView>
  </sheetViews>
  <sheetFormatPr defaultRowHeight="13.2"/>
  <cols>
    <col min="1" max="1" width="11.33203125" customWidth="1"/>
    <col min="2" max="2" width="11.109375" customWidth="1"/>
    <col min="3" max="3" width="11.33203125" bestFit="1" customWidth="1"/>
    <col min="4" max="4" width="10.109375" bestFit="1" customWidth="1"/>
    <col min="5" max="5" width="13.33203125" customWidth="1"/>
    <col min="6" max="6" width="11.6640625" customWidth="1"/>
    <col min="7" max="7" width="11.33203125" bestFit="1" customWidth="1"/>
    <col min="8" max="8" width="16.5546875" customWidth="1"/>
    <col min="9" max="9" width="8.88671875" customWidth="1"/>
    <col min="10" max="10" width="10.109375" customWidth="1"/>
  </cols>
  <sheetData>
    <row r="1" spans="1:41" ht="21" customHeight="1">
      <c r="A1" s="941" t="s">
        <v>454</v>
      </c>
      <c r="B1" s="941"/>
      <c r="C1" s="941"/>
      <c r="D1" s="941"/>
      <c r="E1" s="941"/>
      <c r="F1" s="941"/>
      <c r="G1" s="941"/>
      <c r="H1" s="941"/>
    </row>
    <row r="2" spans="1:41" ht="15" customHeight="1">
      <c r="A2" s="942" t="s">
        <v>476</v>
      </c>
      <c r="B2" s="942"/>
      <c r="C2" s="942"/>
      <c r="D2" s="942"/>
      <c r="E2" s="942"/>
      <c r="F2" s="942"/>
      <c r="G2" s="942"/>
      <c r="H2" s="942"/>
    </row>
    <row r="3" spans="1:41" ht="20.25" customHeight="1">
      <c r="A3" s="53"/>
      <c r="B3" s="53"/>
      <c r="C3" s="53"/>
      <c r="D3" s="53"/>
      <c r="E3" s="53"/>
      <c r="F3" s="53"/>
      <c r="G3" s="940" t="s">
        <v>193</v>
      </c>
      <c r="H3" s="94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21.75" customHeight="1" thickBot="1">
      <c r="A4" s="905" t="s">
        <v>405</v>
      </c>
      <c r="B4" s="905"/>
      <c r="C4" s="875"/>
      <c r="D4" s="50" t="s">
        <v>169</v>
      </c>
      <c r="E4" s="16"/>
      <c r="F4" s="50"/>
      <c r="G4" s="51" t="s">
        <v>255</v>
      </c>
      <c r="H4" s="52" t="s">
        <v>407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5" customHeight="1">
      <c r="A5" s="55"/>
      <c r="B5" s="56" t="s">
        <v>41</v>
      </c>
      <c r="C5" s="57"/>
      <c r="D5" s="56" t="s">
        <v>187</v>
      </c>
      <c r="E5" s="57"/>
      <c r="F5" s="943" t="s">
        <v>0</v>
      </c>
      <c r="G5" s="943"/>
      <c r="H5" s="5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5" customHeight="1">
      <c r="A6" s="53"/>
      <c r="B6" s="403" t="s">
        <v>154</v>
      </c>
      <c r="C6" s="53"/>
      <c r="D6" s="403" t="s">
        <v>285</v>
      </c>
      <c r="E6" s="53"/>
      <c r="F6" s="942" t="s">
        <v>1</v>
      </c>
      <c r="G6" s="942"/>
      <c r="H6" s="54"/>
    </row>
    <row r="7" spans="1:41" s="110" customFormat="1" ht="12" customHeight="1">
      <c r="A7" s="112"/>
      <c r="B7" s="190" t="s">
        <v>181</v>
      </c>
      <c r="C7" s="190" t="s">
        <v>215</v>
      </c>
      <c r="D7" s="190" t="s">
        <v>181</v>
      </c>
      <c r="E7" s="190" t="s">
        <v>215</v>
      </c>
      <c r="F7" s="190" t="s">
        <v>181</v>
      </c>
      <c r="G7" s="190" t="s">
        <v>215</v>
      </c>
      <c r="H7" s="191"/>
    </row>
    <row r="8" spans="1:41" s="181" customFormat="1" ht="16.5" customHeight="1" thickBot="1">
      <c r="A8" s="423" t="s">
        <v>51</v>
      </c>
      <c r="B8" s="424" t="s">
        <v>121</v>
      </c>
      <c r="C8" s="425" t="s">
        <v>28</v>
      </c>
      <c r="D8" s="424" t="s">
        <v>121</v>
      </c>
      <c r="E8" s="425" t="s">
        <v>28</v>
      </c>
      <c r="F8" s="424" t="s">
        <v>121</v>
      </c>
      <c r="G8" s="425" t="s">
        <v>28</v>
      </c>
      <c r="H8" s="426" t="s">
        <v>25</v>
      </c>
    </row>
    <row r="9" spans="1:41" s="239" customFormat="1" ht="15" customHeight="1" thickTop="1">
      <c r="A9" s="356" t="s">
        <v>328</v>
      </c>
      <c r="B9" s="357">
        <v>35569</v>
      </c>
      <c r="C9" s="47">
        <v>711396</v>
      </c>
      <c r="D9" s="357">
        <v>14356</v>
      </c>
      <c r="E9" s="47">
        <v>236449</v>
      </c>
      <c r="F9" s="357">
        <f>B9+D9</f>
        <v>49925</v>
      </c>
      <c r="G9" s="47">
        <f>C9+E9</f>
        <v>947845</v>
      </c>
      <c r="H9" s="353" t="s">
        <v>378</v>
      </c>
    </row>
    <row r="10" spans="1:41" s="239" customFormat="1" ht="15" customHeight="1">
      <c r="A10" s="253" t="s">
        <v>29</v>
      </c>
      <c r="B10" s="254">
        <v>14758</v>
      </c>
      <c r="C10" s="234">
        <v>254180</v>
      </c>
      <c r="D10" s="254">
        <v>26547</v>
      </c>
      <c r="E10" s="234">
        <v>371047</v>
      </c>
      <c r="F10" s="234">
        <f t="shared" ref="F10:F23" si="0">B10+D10</f>
        <v>41305</v>
      </c>
      <c r="G10" s="234">
        <f t="shared" ref="G10:G23" si="1">C10+E10</f>
        <v>625227</v>
      </c>
      <c r="H10" s="256" t="s">
        <v>30</v>
      </c>
    </row>
    <row r="11" spans="1:41" s="166" customFormat="1" ht="15" customHeight="1">
      <c r="A11" s="358" t="s">
        <v>3</v>
      </c>
      <c r="B11" s="357">
        <v>34066</v>
      </c>
      <c r="C11" s="47">
        <v>709944</v>
      </c>
      <c r="D11" s="357">
        <v>56552</v>
      </c>
      <c r="E11" s="47">
        <v>1027884</v>
      </c>
      <c r="F11" s="357">
        <f t="shared" si="0"/>
        <v>90618</v>
      </c>
      <c r="G11" s="47">
        <f t="shared" si="1"/>
        <v>1737828</v>
      </c>
      <c r="H11" s="353" t="s">
        <v>15</v>
      </c>
    </row>
    <row r="12" spans="1:41" s="166" customFormat="1" ht="15" customHeight="1">
      <c r="A12" s="253" t="s">
        <v>319</v>
      </c>
      <c r="B12" s="254">
        <v>44925</v>
      </c>
      <c r="C12" s="234">
        <v>1054211</v>
      </c>
      <c r="D12" s="254">
        <v>70054</v>
      </c>
      <c r="E12" s="234">
        <v>1405749</v>
      </c>
      <c r="F12" s="234">
        <f t="shared" si="0"/>
        <v>114979</v>
      </c>
      <c r="G12" s="234">
        <f t="shared" si="1"/>
        <v>2459960</v>
      </c>
      <c r="H12" s="256" t="s">
        <v>315</v>
      </c>
    </row>
    <row r="13" spans="1:41" s="166" customFormat="1" ht="15" customHeight="1">
      <c r="A13" s="358" t="s">
        <v>4</v>
      </c>
      <c r="B13" s="357">
        <v>115355</v>
      </c>
      <c r="C13" s="47">
        <v>2587030</v>
      </c>
      <c r="D13" s="357">
        <v>58048</v>
      </c>
      <c r="E13" s="47">
        <v>1215790</v>
      </c>
      <c r="F13" s="357">
        <f t="shared" si="0"/>
        <v>173403</v>
      </c>
      <c r="G13" s="47">
        <f t="shared" si="1"/>
        <v>3802820</v>
      </c>
      <c r="H13" s="353" t="s">
        <v>16</v>
      </c>
    </row>
    <row r="14" spans="1:41" s="166" customFormat="1" ht="15" customHeight="1">
      <c r="A14" s="257" t="s">
        <v>5</v>
      </c>
      <c r="B14" s="254">
        <v>34696</v>
      </c>
      <c r="C14" s="234">
        <v>718767</v>
      </c>
      <c r="D14" s="254">
        <v>28680</v>
      </c>
      <c r="E14" s="234">
        <v>621060</v>
      </c>
      <c r="F14" s="234">
        <f t="shared" si="0"/>
        <v>63376</v>
      </c>
      <c r="G14" s="234">
        <f t="shared" si="1"/>
        <v>1339827</v>
      </c>
      <c r="H14" s="255" t="s">
        <v>23</v>
      </c>
    </row>
    <row r="15" spans="1:41" s="166" customFormat="1" ht="15" customHeight="1">
      <c r="A15" s="358" t="s">
        <v>6</v>
      </c>
      <c r="B15" s="357">
        <v>55501</v>
      </c>
      <c r="C15" s="47">
        <v>1105508</v>
      </c>
      <c r="D15" s="357">
        <v>26273</v>
      </c>
      <c r="E15" s="47">
        <v>449149</v>
      </c>
      <c r="F15" s="357">
        <f t="shared" si="0"/>
        <v>81774</v>
      </c>
      <c r="G15" s="47">
        <f t="shared" si="1"/>
        <v>1554657</v>
      </c>
      <c r="H15" s="353" t="s">
        <v>379</v>
      </c>
    </row>
    <row r="16" spans="1:41" s="166" customFormat="1" ht="15" customHeight="1">
      <c r="A16" s="257" t="s">
        <v>11</v>
      </c>
      <c r="B16" s="254">
        <v>8738</v>
      </c>
      <c r="C16" s="234">
        <v>211384</v>
      </c>
      <c r="D16" s="254">
        <v>24337</v>
      </c>
      <c r="E16" s="234">
        <v>479628</v>
      </c>
      <c r="F16" s="234">
        <f t="shared" si="0"/>
        <v>33075</v>
      </c>
      <c r="G16" s="234">
        <f t="shared" si="1"/>
        <v>691012</v>
      </c>
      <c r="H16" s="255" t="s">
        <v>21</v>
      </c>
    </row>
    <row r="17" spans="1:10" s="166" customFormat="1" ht="13.5" customHeight="1">
      <c r="A17" s="358" t="s">
        <v>2</v>
      </c>
      <c r="B17" s="357">
        <v>12976</v>
      </c>
      <c r="C17" s="47">
        <v>262282</v>
      </c>
      <c r="D17" s="357">
        <v>13302</v>
      </c>
      <c r="E17" s="47">
        <v>192860</v>
      </c>
      <c r="F17" s="357">
        <f t="shared" si="0"/>
        <v>26278</v>
      </c>
      <c r="G17" s="47">
        <f t="shared" si="1"/>
        <v>455142</v>
      </c>
      <c r="H17" s="353" t="s">
        <v>14</v>
      </c>
    </row>
    <row r="18" spans="1:10" s="166" customFormat="1" ht="15" customHeight="1">
      <c r="A18" s="257" t="s">
        <v>7</v>
      </c>
      <c r="B18" s="254">
        <v>64722</v>
      </c>
      <c r="C18" s="574">
        <v>1237219</v>
      </c>
      <c r="D18" s="254">
        <v>43130</v>
      </c>
      <c r="E18" s="234">
        <v>665476</v>
      </c>
      <c r="F18" s="234">
        <f t="shared" si="0"/>
        <v>107852</v>
      </c>
      <c r="G18" s="234">
        <f t="shared" si="1"/>
        <v>1902695</v>
      </c>
      <c r="H18" s="255" t="s">
        <v>17</v>
      </c>
    </row>
    <row r="19" spans="1:10" s="166" customFormat="1" ht="15" customHeight="1">
      <c r="A19" s="358" t="s">
        <v>8</v>
      </c>
      <c r="B19" s="357">
        <v>20014</v>
      </c>
      <c r="C19" s="47">
        <v>371991</v>
      </c>
      <c r="D19" s="357">
        <v>35124</v>
      </c>
      <c r="E19" s="47">
        <v>737199</v>
      </c>
      <c r="F19" s="357">
        <f t="shared" si="0"/>
        <v>55138</v>
      </c>
      <c r="G19" s="47">
        <f t="shared" si="1"/>
        <v>1109190</v>
      </c>
      <c r="H19" s="353" t="s">
        <v>18</v>
      </c>
    </row>
    <row r="20" spans="1:10" s="166" customFormat="1" ht="15" customHeight="1">
      <c r="A20" s="257" t="s">
        <v>9</v>
      </c>
      <c r="B20" s="254">
        <v>27889</v>
      </c>
      <c r="C20" s="234">
        <v>516412</v>
      </c>
      <c r="D20" s="254">
        <v>10180</v>
      </c>
      <c r="E20" s="234">
        <v>154459</v>
      </c>
      <c r="F20" s="234">
        <f t="shared" si="0"/>
        <v>38069</v>
      </c>
      <c r="G20" s="234">
        <f t="shared" si="1"/>
        <v>670871</v>
      </c>
      <c r="H20" s="255" t="s">
        <v>19</v>
      </c>
    </row>
    <row r="21" spans="1:10" s="166" customFormat="1" ht="15" customHeight="1">
      <c r="A21" s="358" t="s">
        <v>10</v>
      </c>
      <c r="B21" s="357">
        <v>26456</v>
      </c>
      <c r="C21" s="47">
        <v>538089</v>
      </c>
      <c r="D21" s="357">
        <v>7715</v>
      </c>
      <c r="E21" s="47">
        <v>162284</v>
      </c>
      <c r="F21" s="357">
        <f t="shared" si="0"/>
        <v>34171</v>
      </c>
      <c r="G21" s="47">
        <f t="shared" si="1"/>
        <v>700373</v>
      </c>
      <c r="H21" s="353" t="s">
        <v>20</v>
      </c>
    </row>
    <row r="22" spans="1:10" s="166" customFormat="1" ht="13.8">
      <c r="A22" s="359" t="s">
        <v>12</v>
      </c>
      <c r="B22" s="360">
        <v>7520</v>
      </c>
      <c r="C22" s="111">
        <v>125015</v>
      </c>
      <c r="D22" s="360">
        <v>3587</v>
      </c>
      <c r="E22" s="111">
        <v>70947</v>
      </c>
      <c r="F22" s="234">
        <f t="shared" si="0"/>
        <v>11107</v>
      </c>
      <c r="G22" s="234">
        <f t="shared" si="1"/>
        <v>195962</v>
      </c>
      <c r="H22" s="361" t="s">
        <v>24</v>
      </c>
    </row>
    <row r="23" spans="1:10" s="166" customFormat="1" ht="15" customHeight="1" thickBot="1">
      <c r="A23" s="427" t="s">
        <v>13</v>
      </c>
      <c r="B23" s="428">
        <v>65566</v>
      </c>
      <c r="C23" s="420">
        <v>1346788</v>
      </c>
      <c r="D23" s="428">
        <v>49102</v>
      </c>
      <c r="E23" s="420">
        <v>1060941</v>
      </c>
      <c r="F23" s="357">
        <f t="shared" si="0"/>
        <v>114668</v>
      </c>
      <c r="G23" s="47">
        <f t="shared" si="1"/>
        <v>2407729</v>
      </c>
      <c r="H23" s="429" t="s">
        <v>22</v>
      </c>
    </row>
    <row r="24" spans="1:10" s="239" customFormat="1" ht="17.25" customHeight="1" thickBot="1">
      <c r="A24" s="258" t="s">
        <v>0</v>
      </c>
      <c r="B24" s="259">
        <f>SUM(B9:B23)</f>
        <v>568751</v>
      </c>
      <c r="C24" s="259">
        <f t="shared" ref="C24:G24" si="2">SUM(C9:C23)</f>
        <v>11750216</v>
      </c>
      <c r="D24" s="259">
        <f t="shared" si="2"/>
        <v>466987</v>
      </c>
      <c r="E24" s="259">
        <f t="shared" si="2"/>
        <v>8850922</v>
      </c>
      <c r="F24" s="259">
        <f t="shared" si="2"/>
        <v>1035738</v>
      </c>
      <c r="G24" s="259">
        <f t="shared" si="2"/>
        <v>20601138</v>
      </c>
      <c r="H24" s="258" t="s">
        <v>1</v>
      </c>
    </row>
    <row r="25" spans="1:10" ht="13.8">
      <c r="A25" s="932"/>
      <c r="B25" s="932"/>
      <c r="C25" s="932"/>
      <c r="D25" s="932"/>
      <c r="E25" s="932"/>
      <c r="F25" s="932"/>
      <c r="G25" s="932"/>
      <c r="H25" s="932"/>
      <c r="I25" s="587"/>
      <c r="J25" s="587"/>
    </row>
    <row r="26" spans="1:10" ht="18.75" customHeight="1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mergeCells count="7">
    <mergeCell ref="G3:H3"/>
    <mergeCell ref="A1:H1"/>
    <mergeCell ref="A4:B4"/>
    <mergeCell ref="A25:H25"/>
    <mergeCell ref="A2:H2"/>
    <mergeCell ref="F6:G6"/>
    <mergeCell ref="F5:G5"/>
  </mergeCells>
  <phoneticPr fontId="3" type="noConversion"/>
  <printOptions horizontalCentered="1" verticalCentered="1"/>
  <pageMargins left="0.23622047244094491" right="0.28000000000000003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J28"/>
  <sheetViews>
    <sheetView rightToLeft="1" view="pageBreakPreview" zoomScale="98" zoomScaleNormal="90" zoomScaleSheetLayoutView="98" workbookViewId="0">
      <selection activeCell="E4" sqref="E4"/>
    </sheetView>
  </sheetViews>
  <sheetFormatPr defaultRowHeight="13.2"/>
  <cols>
    <col min="1" max="1" width="11.44140625" customWidth="1"/>
    <col min="2" max="2" width="12.5546875" customWidth="1"/>
    <col min="3" max="3" width="16.88671875" customWidth="1"/>
    <col min="4" max="4" width="10.109375" bestFit="1" customWidth="1"/>
    <col min="5" max="5" width="15.88671875" customWidth="1"/>
    <col min="6" max="6" width="14.6640625" customWidth="1"/>
    <col min="7" max="7" width="15.88671875" customWidth="1"/>
    <col min="8" max="8" width="16.109375" customWidth="1"/>
  </cols>
  <sheetData>
    <row r="1" spans="1:8" ht="13.8">
      <c r="A1" s="944" t="s">
        <v>453</v>
      </c>
      <c r="B1" s="944"/>
      <c r="C1" s="944"/>
      <c r="D1" s="944"/>
      <c r="E1" s="944"/>
      <c r="F1" s="944"/>
      <c r="G1" s="944"/>
      <c r="H1" s="944"/>
    </row>
    <row r="2" spans="1:8" ht="13.8">
      <c r="A2" s="945" t="s">
        <v>477</v>
      </c>
      <c r="B2" s="945"/>
      <c r="C2" s="945"/>
      <c r="D2" s="945"/>
      <c r="E2" s="945"/>
      <c r="F2" s="945"/>
      <c r="G2" s="945"/>
      <c r="H2" s="945"/>
    </row>
    <row r="3" spans="1:8" ht="12.75" customHeight="1">
      <c r="A3" s="14"/>
      <c r="B3" s="11"/>
      <c r="C3" s="11"/>
      <c r="D3" s="59"/>
      <c r="E3" s="11"/>
      <c r="F3" s="11"/>
      <c r="G3" s="940" t="s">
        <v>361</v>
      </c>
      <c r="H3" s="940"/>
    </row>
    <row r="4" spans="1:8" ht="15" customHeight="1" thickBot="1">
      <c r="A4" s="905" t="s">
        <v>405</v>
      </c>
      <c r="B4" s="905"/>
      <c r="C4" s="60"/>
      <c r="D4" s="61" t="s">
        <v>487</v>
      </c>
      <c r="E4" s="11"/>
      <c r="F4" s="62"/>
      <c r="G4" s="63" t="s">
        <v>170</v>
      </c>
      <c r="H4" s="64" t="s">
        <v>408</v>
      </c>
    </row>
    <row r="5" spans="1:8" ht="15" customHeight="1">
      <c r="A5" s="23"/>
      <c r="B5" s="69" t="s">
        <v>188</v>
      </c>
      <c r="C5" s="68"/>
      <c r="D5" s="69" t="s">
        <v>189</v>
      </c>
      <c r="E5" s="68"/>
      <c r="F5" s="69" t="s">
        <v>0</v>
      </c>
      <c r="G5" s="68"/>
      <c r="H5" s="67"/>
    </row>
    <row r="6" spans="1:8" ht="15" customHeight="1">
      <c r="A6" s="26"/>
      <c r="B6" s="126" t="s">
        <v>278</v>
      </c>
      <c r="C6" s="66"/>
      <c r="D6" s="126" t="s">
        <v>277</v>
      </c>
      <c r="E6" s="66"/>
      <c r="F6" s="59" t="s">
        <v>1</v>
      </c>
      <c r="G6" s="66"/>
      <c r="H6" s="65"/>
    </row>
    <row r="7" spans="1:8" s="181" customFormat="1" ht="15" customHeight="1">
      <c r="A7" s="192"/>
      <c r="B7" s="193" t="s">
        <v>181</v>
      </c>
      <c r="C7" s="194" t="s">
        <v>215</v>
      </c>
      <c r="D7" s="194" t="s">
        <v>181</v>
      </c>
      <c r="E7" s="194" t="s">
        <v>215</v>
      </c>
      <c r="F7" s="194" t="s">
        <v>181</v>
      </c>
      <c r="G7" s="194" t="s">
        <v>215</v>
      </c>
      <c r="H7" s="195"/>
    </row>
    <row r="8" spans="1:8" s="181" customFormat="1" ht="15" customHeight="1" thickBot="1">
      <c r="A8" s="430" t="s">
        <v>47</v>
      </c>
      <c r="B8" s="431" t="s">
        <v>121</v>
      </c>
      <c r="C8" s="431" t="s">
        <v>28</v>
      </c>
      <c r="D8" s="431" t="s">
        <v>121</v>
      </c>
      <c r="E8" s="431" t="s">
        <v>28</v>
      </c>
      <c r="F8" s="431" t="s">
        <v>121</v>
      </c>
      <c r="G8" s="431" t="s">
        <v>28</v>
      </c>
      <c r="H8" s="432" t="s">
        <v>25</v>
      </c>
    </row>
    <row r="9" spans="1:8" s="239" customFormat="1" ht="15" customHeight="1" thickTop="1">
      <c r="A9" s="351" t="s">
        <v>328</v>
      </c>
      <c r="B9" s="352">
        <v>30</v>
      </c>
      <c r="C9" s="47">
        <v>552</v>
      </c>
      <c r="D9" s="352">
        <v>26</v>
      </c>
      <c r="E9" s="47">
        <v>544</v>
      </c>
      <c r="F9" s="352">
        <f>B9+D9</f>
        <v>56</v>
      </c>
      <c r="G9" s="47">
        <f>C9+E9</f>
        <v>1096</v>
      </c>
      <c r="H9" s="353" t="s">
        <v>378</v>
      </c>
    </row>
    <row r="10" spans="1:8" s="166" customFormat="1" ht="15" customHeight="1">
      <c r="A10" s="260" t="s">
        <v>29</v>
      </c>
      <c r="B10" s="261">
        <v>1</v>
      </c>
      <c r="C10" s="234">
        <v>7</v>
      </c>
      <c r="D10" s="261">
        <v>33</v>
      </c>
      <c r="E10" s="234">
        <f>D10*19</f>
        <v>627</v>
      </c>
      <c r="F10" s="261">
        <f t="shared" ref="F10:F23" si="0">B10+D10</f>
        <v>34</v>
      </c>
      <c r="G10" s="234">
        <f>C10+E10</f>
        <v>634</v>
      </c>
      <c r="H10" s="262" t="s">
        <v>30</v>
      </c>
    </row>
    <row r="11" spans="1:8" s="166" customFormat="1" ht="15" customHeight="1">
      <c r="A11" s="354" t="s">
        <v>3</v>
      </c>
      <c r="B11" s="352">
        <v>18</v>
      </c>
      <c r="C11" s="47">
        <v>276</v>
      </c>
      <c r="D11" s="352">
        <v>76</v>
      </c>
      <c r="E11" s="47">
        <v>1593</v>
      </c>
      <c r="F11" s="352">
        <f t="shared" si="0"/>
        <v>94</v>
      </c>
      <c r="G11" s="47">
        <f t="shared" ref="G11:G23" si="1">C11+E11</f>
        <v>1869</v>
      </c>
      <c r="H11" s="355" t="s">
        <v>15</v>
      </c>
    </row>
    <row r="12" spans="1:8" s="166" customFormat="1" ht="15" customHeight="1">
      <c r="A12" s="260" t="s">
        <v>319</v>
      </c>
      <c r="B12" s="261">
        <v>31</v>
      </c>
      <c r="C12" s="234">
        <f>B12*16</f>
        <v>496</v>
      </c>
      <c r="D12" s="261">
        <v>45</v>
      </c>
      <c r="E12" s="234">
        <v>1005</v>
      </c>
      <c r="F12" s="261">
        <f t="shared" si="0"/>
        <v>76</v>
      </c>
      <c r="G12" s="234">
        <f t="shared" si="1"/>
        <v>1501</v>
      </c>
      <c r="H12" s="262" t="s">
        <v>315</v>
      </c>
    </row>
    <row r="13" spans="1:8" s="166" customFormat="1" ht="15" customHeight="1">
      <c r="A13" s="354" t="s">
        <v>4</v>
      </c>
      <c r="B13" s="352">
        <v>289</v>
      </c>
      <c r="C13" s="47">
        <v>5792</v>
      </c>
      <c r="D13" s="352">
        <v>348</v>
      </c>
      <c r="E13" s="47">
        <v>8620</v>
      </c>
      <c r="F13" s="352">
        <f t="shared" si="0"/>
        <v>637</v>
      </c>
      <c r="G13" s="47">
        <f t="shared" si="1"/>
        <v>14412</v>
      </c>
      <c r="H13" s="355" t="s">
        <v>16</v>
      </c>
    </row>
    <row r="14" spans="1:8" s="166" customFormat="1" ht="15" customHeight="1">
      <c r="A14" s="263" t="s">
        <v>5</v>
      </c>
      <c r="B14" s="261">
        <v>39</v>
      </c>
      <c r="C14" s="234">
        <v>559</v>
      </c>
      <c r="D14" s="261">
        <v>61</v>
      </c>
      <c r="E14" s="234">
        <v>1197</v>
      </c>
      <c r="F14" s="261">
        <f t="shared" si="0"/>
        <v>100</v>
      </c>
      <c r="G14" s="234">
        <f t="shared" si="1"/>
        <v>1756</v>
      </c>
      <c r="H14" s="264" t="s">
        <v>23</v>
      </c>
    </row>
    <row r="15" spans="1:8" s="166" customFormat="1" ht="15" customHeight="1">
      <c r="A15" s="354" t="s">
        <v>6</v>
      </c>
      <c r="B15" s="352">
        <v>0</v>
      </c>
      <c r="C15" s="47">
        <v>0</v>
      </c>
      <c r="D15" s="352">
        <v>83</v>
      </c>
      <c r="E15" s="47">
        <v>1640</v>
      </c>
      <c r="F15" s="352">
        <f t="shared" si="0"/>
        <v>83</v>
      </c>
      <c r="G15" s="47">
        <f t="shared" si="1"/>
        <v>1640</v>
      </c>
      <c r="H15" s="355" t="s">
        <v>379</v>
      </c>
    </row>
    <row r="16" spans="1:8" s="166" customFormat="1" ht="15" customHeight="1">
      <c r="A16" s="263" t="s">
        <v>11</v>
      </c>
      <c r="B16" s="261">
        <v>28</v>
      </c>
      <c r="C16" s="234">
        <v>467</v>
      </c>
      <c r="D16" s="261">
        <v>68</v>
      </c>
      <c r="E16" s="234">
        <v>1522</v>
      </c>
      <c r="F16" s="261">
        <f t="shared" si="0"/>
        <v>96</v>
      </c>
      <c r="G16" s="234">
        <f t="shared" si="1"/>
        <v>1989</v>
      </c>
      <c r="H16" s="264" t="s">
        <v>21</v>
      </c>
    </row>
    <row r="17" spans="1:10" s="166" customFormat="1" ht="15" customHeight="1">
      <c r="A17" s="354" t="s">
        <v>2</v>
      </c>
      <c r="B17" s="352">
        <v>17</v>
      </c>
      <c r="C17" s="47">
        <v>241</v>
      </c>
      <c r="D17" s="352">
        <v>8</v>
      </c>
      <c r="E17" s="47">
        <f>D17*19</f>
        <v>152</v>
      </c>
      <c r="F17" s="352">
        <f t="shared" si="0"/>
        <v>25</v>
      </c>
      <c r="G17" s="47">
        <f t="shared" si="1"/>
        <v>393</v>
      </c>
      <c r="H17" s="355" t="s">
        <v>14</v>
      </c>
    </row>
    <row r="18" spans="1:10" s="166" customFormat="1" ht="15" customHeight="1">
      <c r="A18" s="263" t="s">
        <v>7</v>
      </c>
      <c r="B18" s="261">
        <v>31</v>
      </c>
      <c r="C18" s="574">
        <v>554</v>
      </c>
      <c r="D18" s="261">
        <v>100</v>
      </c>
      <c r="E18" s="234">
        <v>1911</v>
      </c>
      <c r="F18" s="261">
        <f t="shared" si="0"/>
        <v>131</v>
      </c>
      <c r="G18" s="234">
        <f t="shared" si="1"/>
        <v>2465</v>
      </c>
      <c r="H18" s="264" t="s">
        <v>17</v>
      </c>
    </row>
    <row r="19" spans="1:10" s="166" customFormat="1" ht="15" customHeight="1">
      <c r="A19" s="354" t="s">
        <v>8</v>
      </c>
      <c r="B19" s="352">
        <v>7</v>
      </c>
      <c r="C19" s="47">
        <v>133</v>
      </c>
      <c r="D19" s="352">
        <v>67</v>
      </c>
      <c r="E19" s="47">
        <v>1378</v>
      </c>
      <c r="F19" s="352">
        <f t="shared" si="0"/>
        <v>74</v>
      </c>
      <c r="G19" s="47">
        <f t="shared" si="1"/>
        <v>1511</v>
      </c>
      <c r="H19" s="355" t="s">
        <v>18</v>
      </c>
    </row>
    <row r="20" spans="1:10" s="166" customFormat="1" ht="15" customHeight="1">
      <c r="A20" s="263" t="s">
        <v>9</v>
      </c>
      <c r="B20" s="261">
        <v>9</v>
      </c>
      <c r="C20" s="261">
        <v>62</v>
      </c>
      <c r="D20" s="261">
        <v>61</v>
      </c>
      <c r="E20" s="234">
        <v>1005</v>
      </c>
      <c r="F20" s="261">
        <f t="shared" si="0"/>
        <v>70</v>
      </c>
      <c r="G20" s="234">
        <f t="shared" si="1"/>
        <v>1067</v>
      </c>
      <c r="H20" s="264" t="s">
        <v>19</v>
      </c>
    </row>
    <row r="21" spans="1:10" s="166" customFormat="1" ht="15" customHeight="1">
      <c r="A21" s="354" t="s">
        <v>10</v>
      </c>
      <c r="B21" s="352">
        <v>46</v>
      </c>
      <c r="C21" s="352">
        <f>B21*16</f>
        <v>736</v>
      </c>
      <c r="D21" s="352">
        <v>69</v>
      </c>
      <c r="E21" s="47">
        <v>1042</v>
      </c>
      <c r="F21" s="352">
        <f t="shared" si="0"/>
        <v>115</v>
      </c>
      <c r="G21" s="47">
        <f t="shared" si="1"/>
        <v>1778</v>
      </c>
      <c r="H21" s="355" t="s">
        <v>20</v>
      </c>
    </row>
    <row r="22" spans="1:10" s="166" customFormat="1" ht="15" customHeight="1">
      <c r="A22" s="263" t="s">
        <v>12</v>
      </c>
      <c r="B22" s="261">
        <v>2</v>
      </c>
      <c r="C22" s="261">
        <f>B22*16</f>
        <v>32</v>
      </c>
      <c r="D22" s="261">
        <v>21</v>
      </c>
      <c r="E22" s="234">
        <v>319</v>
      </c>
      <c r="F22" s="261">
        <f t="shared" si="0"/>
        <v>23</v>
      </c>
      <c r="G22" s="234">
        <f t="shared" si="1"/>
        <v>351</v>
      </c>
      <c r="H22" s="264" t="s">
        <v>24</v>
      </c>
    </row>
    <row r="23" spans="1:10" s="166" customFormat="1" ht="15" customHeight="1" thickBot="1">
      <c r="A23" s="433" t="s">
        <v>13</v>
      </c>
      <c r="B23" s="434">
        <v>0</v>
      </c>
      <c r="C23" s="434">
        <v>0</v>
      </c>
      <c r="D23" s="434">
        <v>153</v>
      </c>
      <c r="E23" s="420">
        <v>2293</v>
      </c>
      <c r="F23" s="434">
        <f t="shared" si="0"/>
        <v>153</v>
      </c>
      <c r="G23" s="47">
        <f t="shared" si="1"/>
        <v>2293</v>
      </c>
      <c r="H23" s="435" t="s">
        <v>22</v>
      </c>
    </row>
    <row r="24" spans="1:10" s="239" customFormat="1" ht="19.5" customHeight="1" thickBot="1">
      <c r="A24" s="265" t="s">
        <v>0</v>
      </c>
      <c r="B24" s="266">
        <f>SUM(B9:B23)</f>
        <v>548</v>
      </c>
      <c r="C24" s="266">
        <f t="shared" ref="C24:G24" si="2">SUM(C9:C23)</f>
        <v>9907</v>
      </c>
      <c r="D24" s="266">
        <f t="shared" si="2"/>
        <v>1219</v>
      </c>
      <c r="E24" s="266">
        <f t="shared" si="2"/>
        <v>24848</v>
      </c>
      <c r="F24" s="266">
        <f t="shared" si="2"/>
        <v>1767</v>
      </c>
      <c r="G24" s="266">
        <f t="shared" si="2"/>
        <v>34755</v>
      </c>
      <c r="H24" s="265" t="s">
        <v>1</v>
      </c>
    </row>
    <row r="25" spans="1:10" ht="13.8">
      <c r="A25" s="932"/>
      <c r="B25" s="932"/>
      <c r="C25" s="932"/>
      <c r="D25" s="932"/>
      <c r="E25" s="932"/>
      <c r="F25" s="932"/>
      <c r="G25" s="932"/>
      <c r="H25" s="932"/>
      <c r="I25" s="587"/>
      <c r="J25" s="587"/>
    </row>
    <row r="26" spans="1:10" ht="13.5" customHeight="1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  <row r="28" spans="1:10">
      <c r="C28" s="2"/>
    </row>
  </sheetData>
  <mergeCells count="5">
    <mergeCell ref="G3:H3"/>
    <mergeCell ref="A1:H1"/>
    <mergeCell ref="A2:H2"/>
    <mergeCell ref="A4:B4"/>
    <mergeCell ref="A25:H25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8:J27"/>
  <sheetViews>
    <sheetView rightToLeft="1" view="pageBreakPreview" zoomScale="60" zoomScaleNormal="100" workbookViewId="0">
      <selection activeCell="Q6" sqref="Q6"/>
    </sheetView>
  </sheetViews>
  <sheetFormatPr defaultRowHeight="13.2"/>
  <cols>
    <col min="1" max="1" width="8" customWidth="1"/>
    <col min="2" max="2" width="5.5546875" customWidth="1"/>
    <col min="3" max="3" width="7.44140625" customWidth="1"/>
    <col min="4" max="4" width="6.88671875" customWidth="1"/>
    <col min="5" max="5" width="6.6640625" customWidth="1"/>
    <col min="6" max="6" width="7.6640625" customWidth="1"/>
    <col min="7" max="7" width="8" customWidth="1"/>
    <col min="8" max="8" width="8.5546875" customWidth="1"/>
    <col min="10" max="10" width="8.88671875" customWidth="1"/>
    <col min="11" max="11" width="8.33203125" customWidth="1"/>
    <col min="12" max="13" width="7.6640625" customWidth="1"/>
    <col min="14" max="14" width="7.44140625" customWidth="1"/>
    <col min="15" max="15" width="8" customWidth="1"/>
  </cols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honeticPr fontId="3" type="noConversion"/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O35"/>
  <sheetViews>
    <sheetView rightToLeft="1" view="pageBreakPreview" zoomScaleNormal="90" zoomScaleSheetLayoutView="100" workbookViewId="0">
      <selection activeCell="A2" sqref="A2:J2"/>
    </sheetView>
  </sheetViews>
  <sheetFormatPr defaultRowHeight="13.2"/>
  <cols>
    <col min="1" max="1" width="10" customWidth="1"/>
    <col min="2" max="2" width="12.88671875" customWidth="1"/>
    <col min="3" max="3" width="14.44140625" customWidth="1"/>
    <col min="4" max="4" width="11.109375" customWidth="1"/>
    <col min="5" max="5" width="13.88671875" customWidth="1"/>
    <col min="6" max="6" width="11.44140625" customWidth="1"/>
    <col min="7" max="7" width="13.6640625" bestFit="1" customWidth="1"/>
    <col min="8" max="8" width="12.109375" customWidth="1"/>
    <col min="9" max="9" width="14" customWidth="1"/>
    <col min="10" max="10" width="17.88671875" customWidth="1"/>
    <col min="11" max="11" width="0.88671875" hidden="1" customWidth="1"/>
    <col min="12" max="12" width="5.88671875" customWidth="1"/>
  </cols>
  <sheetData>
    <row r="1" spans="1:10" ht="13.8">
      <c r="A1" s="893" t="s">
        <v>454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0" ht="13.8">
      <c r="A2" s="883" t="s">
        <v>478</v>
      </c>
      <c r="B2" s="883"/>
      <c r="C2" s="883"/>
      <c r="D2" s="883"/>
      <c r="E2" s="883"/>
      <c r="F2" s="883"/>
      <c r="G2" s="883"/>
      <c r="H2" s="883"/>
      <c r="I2" s="883"/>
      <c r="J2" s="883"/>
    </row>
    <row r="3" spans="1:10" s="4" customFormat="1" ht="13.8">
      <c r="A3" s="134"/>
      <c r="B3" s="134"/>
      <c r="C3" s="134"/>
      <c r="D3" s="134"/>
      <c r="E3" s="134"/>
      <c r="F3" s="134"/>
      <c r="G3" s="134"/>
      <c r="H3" s="134"/>
      <c r="I3" s="946" t="s">
        <v>193</v>
      </c>
      <c r="J3" s="946"/>
    </row>
    <row r="4" spans="1:10" ht="17.25" customHeight="1" thickBot="1">
      <c r="A4" s="905" t="s">
        <v>405</v>
      </c>
      <c r="B4" s="905"/>
      <c r="C4" s="948" t="s">
        <v>409</v>
      </c>
      <c r="D4" s="948"/>
      <c r="E4" s="39"/>
      <c r="F4" s="16"/>
      <c r="G4" s="39"/>
      <c r="H4" s="39" t="s">
        <v>179</v>
      </c>
      <c r="I4" s="947" t="s">
        <v>408</v>
      </c>
      <c r="J4" s="947"/>
    </row>
    <row r="5" spans="1:10" ht="15" customHeight="1">
      <c r="A5" s="6"/>
      <c r="B5" s="42" t="s">
        <v>41</v>
      </c>
      <c r="C5" s="42"/>
      <c r="D5" s="42" t="s">
        <v>105</v>
      </c>
      <c r="E5" s="42"/>
      <c r="F5" s="42" t="s">
        <v>106</v>
      </c>
      <c r="G5" s="42"/>
      <c r="H5" s="42" t="s">
        <v>0</v>
      </c>
      <c r="I5" s="77"/>
      <c r="J5" s="6"/>
    </row>
    <row r="6" spans="1:10" ht="15" customHeight="1">
      <c r="A6" s="11"/>
      <c r="B6" s="19" t="s">
        <v>154</v>
      </c>
      <c r="C6" s="19"/>
      <c r="D6" s="19" t="s">
        <v>237</v>
      </c>
      <c r="E6" s="19"/>
      <c r="F6" s="19" t="s">
        <v>279</v>
      </c>
      <c r="G6" s="19"/>
      <c r="H6" s="19" t="s">
        <v>1</v>
      </c>
      <c r="I6" s="19"/>
      <c r="J6" s="11"/>
    </row>
    <row r="7" spans="1:10" s="110" customFormat="1" ht="15" customHeight="1">
      <c r="A7" s="33"/>
      <c r="B7" s="171" t="s">
        <v>34</v>
      </c>
      <c r="C7" s="171" t="s">
        <v>215</v>
      </c>
      <c r="D7" s="171" t="s">
        <v>34</v>
      </c>
      <c r="E7" s="170" t="s">
        <v>215</v>
      </c>
      <c r="F7" s="171" t="s">
        <v>34</v>
      </c>
      <c r="G7" s="171" t="s">
        <v>215</v>
      </c>
      <c r="H7" s="171" t="s">
        <v>34</v>
      </c>
      <c r="I7" s="171" t="s">
        <v>215</v>
      </c>
      <c r="J7" s="33"/>
    </row>
    <row r="8" spans="1:10" s="181" customFormat="1" ht="15" customHeight="1" thickBot="1">
      <c r="A8" s="180" t="s">
        <v>47</v>
      </c>
      <c r="B8" s="224" t="s">
        <v>144</v>
      </c>
      <c r="C8" s="224" t="s">
        <v>28</v>
      </c>
      <c r="D8" s="224" t="s">
        <v>144</v>
      </c>
      <c r="E8" s="224" t="s">
        <v>28</v>
      </c>
      <c r="F8" s="224" t="s">
        <v>144</v>
      </c>
      <c r="G8" s="224" t="s">
        <v>28</v>
      </c>
      <c r="H8" s="224" t="s">
        <v>144</v>
      </c>
      <c r="I8" s="224" t="s">
        <v>28</v>
      </c>
      <c r="J8" s="419" t="s">
        <v>25</v>
      </c>
    </row>
    <row r="9" spans="1:10" s="239" customFormat="1" ht="15" customHeight="1" thickTop="1">
      <c r="A9" s="9" t="s">
        <v>328</v>
      </c>
      <c r="B9" s="508">
        <v>17594</v>
      </c>
      <c r="C9" s="508">
        <v>1910991</v>
      </c>
      <c r="D9" s="508">
        <v>5581</v>
      </c>
      <c r="E9" s="508">
        <v>821920</v>
      </c>
      <c r="F9" s="517">
        <v>150</v>
      </c>
      <c r="G9" s="517">
        <v>42563</v>
      </c>
      <c r="H9" s="508">
        <f>B9+D9+F9</f>
        <v>23325</v>
      </c>
      <c r="I9" s="508">
        <f>C9+E9+G9</f>
        <v>2775474</v>
      </c>
      <c r="J9" s="400" t="s">
        <v>378</v>
      </c>
    </row>
    <row r="10" spans="1:10" s="166" customFormat="1" ht="15" customHeight="1">
      <c r="A10" s="240" t="s">
        <v>29</v>
      </c>
      <c r="B10" s="509">
        <v>14771</v>
      </c>
      <c r="C10" s="509">
        <v>1596417</v>
      </c>
      <c r="D10" s="509">
        <v>0</v>
      </c>
      <c r="E10" s="509">
        <v>0</v>
      </c>
      <c r="F10" s="518">
        <v>701</v>
      </c>
      <c r="G10" s="518">
        <f>F10*217</f>
        <v>152117</v>
      </c>
      <c r="H10" s="509">
        <f t="shared" ref="H10:H23" si="0">B10+D10+F10</f>
        <v>15472</v>
      </c>
      <c r="I10" s="509">
        <f t="shared" ref="I10:I23" si="1">C10+E10+G10</f>
        <v>1748534</v>
      </c>
      <c r="J10" s="241" t="s">
        <v>30</v>
      </c>
    </row>
    <row r="11" spans="1:10" s="166" customFormat="1" ht="15" customHeight="1">
      <c r="A11" s="9" t="s">
        <v>3</v>
      </c>
      <c r="B11" s="508">
        <v>31233</v>
      </c>
      <c r="C11" s="508">
        <v>3465040</v>
      </c>
      <c r="D11" s="508">
        <v>7387</v>
      </c>
      <c r="E11" s="508">
        <v>946089</v>
      </c>
      <c r="F11" s="508">
        <v>254</v>
      </c>
      <c r="G11" s="508">
        <v>4108</v>
      </c>
      <c r="H11" s="508">
        <f t="shared" si="0"/>
        <v>38874</v>
      </c>
      <c r="I11" s="508">
        <f t="shared" si="1"/>
        <v>4415237</v>
      </c>
      <c r="J11" s="400" t="s">
        <v>15</v>
      </c>
    </row>
    <row r="12" spans="1:10" s="166" customFormat="1" ht="15" customHeight="1">
      <c r="A12" s="232" t="s">
        <v>319</v>
      </c>
      <c r="B12" s="509">
        <v>18523</v>
      </c>
      <c r="C12" s="509">
        <v>2075263</v>
      </c>
      <c r="D12" s="509">
        <v>10565</v>
      </c>
      <c r="E12" s="509">
        <v>1292663</v>
      </c>
      <c r="F12" s="518">
        <v>519</v>
      </c>
      <c r="G12" s="509">
        <v>142083</v>
      </c>
      <c r="H12" s="509">
        <f t="shared" si="0"/>
        <v>29607</v>
      </c>
      <c r="I12" s="509">
        <f t="shared" si="1"/>
        <v>3510009</v>
      </c>
      <c r="J12" s="237" t="s">
        <v>315</v>
      </c>
    </row>
    <row r="13" spans="1:10" s="166" customFormat="1" ht="15" customHeight="1">
      <c r="A13" s="9" t="s">
        <v>4</v>
      </c>
      <c r="B13" s="508">
        <v>122202</v>
      </c>
      <c r="C13" s="508">
        <v>15842723</v>
      </c>
      <c r="D13" s="508">
        <v>32913</v>
      </c>
      <c r="E13" s="508">
        <v>4184061</v>
      </c>
      <c r="F13" s="517">
        <v>2609</v>
      </c>
      <c r="G13" s="517">
        <f>F13*217</f>
        <v>566153</v>
      </c>
      <c r="H13" s="508">
        <f t="shared" si="0"/>
        <v>157724</v>
      </c>
      <c r="I13" s="508">
        <f t="shared" si="1"/>
        <v>20592937</v>
      </c>
      <c r="J13" s="400" t="s">
        <v>16</v>
      </c>
    </row>
    <row r="14" spans="1:10" s="166" customFormat="1" ht="15" customHeight="1">
      <c r="A14" s="232" t="s">
        <v>5</v>
      </c>
      <c r="B14" s="509">
        <v>21100</v>
      </c>
      <c r="C14" s="509">
        <v>2363308</v>
      </c>
      <c r="D14" s="509">
        <v>9230</v>
      </c>
      <c r="E14" s="509">
        <v>1144437</v>
      </c>
      <c r="F14" s="509">
        <v>1199</v>
      </c>
      <c r="G14" s="845">
        <f t="shared" ref="G14:G20" si="2">F14*217</f>
        <v>260183</v>
      </c>
      <c r="H14" s="509">
        <f t="shared" si="0"/>
        <v>31529</v>
      </c>
      <c r="I14" s="509">
        <f t="shared" si="1"/>
        <v>3767928</v>
      </c>
      <c r="J14" s="237" t="s">
        <v>23</v>
      </c>
    </row>
    <row r="15" spans="1:10" s="166" customFormat="1" ht="15" customHeight="1">
      <c r="A15" s="9" t="s">
        <v>6</v>
      </c>
      <c r="B15" s="508">
        <v>37252</v>
      </c>
      <c r="C15" s="508">
        <v>4290777</v>
      </c>
      <c r="D15" s="508">
        <v>8534</v>
      </c>
      <c r="E15" s="508">
        <v>1180619</v>
      </c>
      <c r="F15" s="517">
        <v>813</v>
      </c>
      <c r="G15" s="517">
        <f t="shared" si="2"/>
        <v>176421</v>
      </c>
      <c r="H15" s="508">
        <f t="shared" si="0"/>
        <v>46599</v>
      </c>
      <c r="I15" s="508">
        <f t="shared" si="1"/>
        <v>5647817</v>
      </c>
      <c r="J15" s="400" t="s">
        <v>379</v>
      </c>
    </row>
    <row r="16" spans="1:10" s="166" customFormat="1" ht="15" customHeight="1">
      <c r="A16" s="232" t="s">
        <v>11</v>
      </c>
      <c r="B16" s="509">
        <v>31223</v>
      </c>
      <c r="C16" s="509">
        <v>3531101</v>
      </c>
      <c r="D16" s="509">
        <v>7074</v>
      </c>
      <c r="E16" s="509">
        <v>901328</v>
      </c>
      <c r="F16" s="518">
        <v>635</v>
      </c>
      <c r="G16" s="845">
        <f t="shared" si="2"/>
        <v>137795</v>
      </c>
      <c r="H16" s="509">
        <f t="shared" si="0"/>
        <v>38932</v>
      </c>
      <c r="I16" s="509">
        <f t="shared" si="1"/>
        <v>4570224</v>
      </c>
      <c r="J16" s="237" t="s">
        <v>21</v>
      </c>
    </row>
    <row r="17" spans="1:15" s="166" customFormat="1" ht="15" customHeight="1">
      <c r="A17" s="9" t="s">
        <v>2</v>
      </c>
      <c r="B17" s="508">
        <v>8943</v>
      </c>
      <c r="C17" s="508">
        <v>1032050</v>
      </c>
      <c r="D17" s="508">
        <v>174</v>
      </c>
      <c r="E17" s="508">
        <v>24230</v>
      </c>
      <c r="F17" s="508">
        <v>442</v>
      </c>
      <c r="G17" s="517">
        <f t="shared" si="2"/>
        <v>95914</v>
      </c>
      <c r="H17" s="508">
        <f t="shared" si="0"/>
        <v>9559</v>
      </c>
      <c r="I17" s="508">
        <f t="shared" si="1"/>
        <v>1152194</v>
      </c>
      <c r="J17" s="400" t="s">
        <v>14</v>
      </c>
    </row>
    <row r="18" spans="1:15" s="166" customFormat="1" ht="15" customHeight="1">
      <c r="A18" s="232" t="s">
        <v>7</v>
      </c>
      <c r="B18" s="509">
        <v>39774</v>
      </c>
      <c r="C18" s="574">
        <v>4341475</v>
      </c>
      <c r="D18" s="509">
        <v>9478</v>
      </c>
      <c r="E18" s="509">
        <v>1224139</v>
      </c>
      <c r="F18" s="518">
        <v>1391</v>
      </c>
      <c r="G18" s="845">
        <f t="shared" si="2"/>
        <v>301847</v>
      </c>
      <c r="H18" s="509">
        <f t="shared" si="0"/>
        <v>50643</v>
      </c>
      <c r="I18" s="509">
        <f t="shared" si="1"/>
        <v>5867461</v>
      </c>
      <c r="J18" s="237" t="s">
        <v>17</v>
      </c>
    </row>
    <row r="19" spans="1:15" s="166" customFormat="1" ht="15" customHeight="1">
      <c r="A19" s="9" t="s">
        <v>8</v>
      </c>
      <c r="B19" s="508">
        <v>29311</v>
      </c>
      <c r="C19" s="508">
        <v>3346523</v>
      </c>
      <c r="D19" s="508">
        <v>3404</v>
      </c>
      <c r="E19" s="508">
        <v>479006</v>
      </c>
      <c r="F19" s="517">
        <v>642</v>
      </c>
      <c r="G19" s="517">
        <f t="shared" si="2"/>
        <v>139314</v>
      </c>
      <c r="H19" s="508">
        <f t="shared" si="0"/>
        <v>33357</v>
      </c>
      <c r="I19" s="508">
        <f t="shared" si="1"/>
        <v>3964843</v>
      </c>
      <c r="J19" s="400" t="s">
        <v>18</v>
      </c>
    </row>
    <row r="20" spans="1:15" s="166" customFormat="1" ht="15" customHeight="1">
      <c r="A20" s="232" t="s">
        <v>9</v>
      </c>
      <c r="B20" s="509">
        <v>27978</v>
      </c>
      <c r="C20" s="509">
        <v>2990537</v>
      </c>
      <c r="D20" s="509">
        <v>3008</v>
      </c>
      <c r="E20" s="509">
        <v>393301</v>
      </c>
      <c r="F20" s="518">
        <v>263</v>
      </c>
      <c r="G20" s="845">
        <f t="shared" si="2"/>
        <v>57071</v>
      </c>
      <c r="H20" s="509">
        <f t="shared" si="0"/>
        <v>31249</v>
      </c>
      <c r="I20" s="509">
        <f t="shared" si="1"/>
        <v>3440909</v>
      </c>
      <c r="J20" s="237" t="s">
        <v>19</v>
      </c>
    </row>
    <row r="21" spans="1:15" s="166" customFormat="1" ht="15" customHeight="1">
      <c r="A21" s="9" t="s">
        <v>10</v>
      </c>
      <c r="B21" s="508">
        <v>24910</v>
      </c>
      <c r="C21" s="508">
        <v>2726786</v>
      </c>
      <c r="D21" s="508">
        <v>4273</v>
      </c>
      <c r="E21" s="508">
        <v>549523</v>
      </c>
      <c r="F21" s="508">
        <v>372</v>
      </c>
      <c r="G21" s="508">
        <v>32494</v>
      </c>
      <c r="H21" s="508">
        <f t="shared" si="0"/>
        <v>29555</v>
      </c>
      <c r="I21" s="508">
        <f t="shared" si="1"/>
        <v>3308803</v>
      </c>
      <c r="J21" s="400" t="s">
        <v>20</v>
      </c>
    </row>
    <row r="22" spans="1:15" s="245" customFormat="1" ht="15" customHeight="1">
      <c r="A22" s="232" t="s">
        <v>12</v>
      </c>
      <c r="B22" s="509">
        <v>2137</v>
      </c>
      <c r="C22" s="509">
        <v>215822</v>
      </c>
      <c r="D22" s="509">
        <v>1551</v>
      </c>
      <c r="E22" s="509">
        <v>177791</v>
      </c>
      <c r="F22" s="518">
        <v>135</v>
      </c>
      <c r="G22" s="518">
        <v>34150</v>
      </c>
      <c r="H22" s="509">
        <f t="shared" si="0"/>
        <v>3823</v>
      </c>
      <c r="I22" s="509">
        <f t="shared" si="1"/>
        <v>427763</v>
      </c>
      <c r="J22" s="237" t="s">
        <v>24</v>
      </c>
    </row>
    <row r="23" spans="1:15" s="166" customFormat="1" ht="15" customHeight="1" thickBot="1">
      <c r="A23" s="9" t="s">
        <v>13</v>
      </c>
      <c r="B23" s="508">
        <v>46596</v>
      </c>
      <c r="C23" s="508">
        <v>5370422</v>
      </c>
      <c r="D23" s="508">
        <v>17476</v>
      </c>
      <c r="E23" s="508">
        <v>2150364</v>
      </c>
      <c r="F23" s="508">
        <v>3293</v>
      </c>
      <c r="G23" s="508">
        <v>616272</v>
      </c>
      <c r="H23" s="508">
        <f t="shared" si="0"/>
        <v>67365</v>
      </c>
      <c r="I23" s="508">
        <f t="shared" si="1"/>
        <v>8137058</v>
      </c>
      <c r="J23" s="400" t="s">
        <v>22</v>
      </c>
    </row>
    <row r="24" spans="1:15" s="181" customFormat="1" ht="15" customHeight="1" thickBot="1">
      <c r="A24" s="196" t="s">
        <v>0</v>
      </c>
      <c r="B24" s="182">
        <f>SUM(B9:B23)</f>
        <v>473547</v>
      </c>
      <c r="C24" s="182">
        <f t="shared" ref="C24:I24" si="3">SUM(C9:C23)</f>
        <v>55099235</v>
      </c>
      <c r="D24" s="182">
        <f t="shared" si="3"/>
        <v>120648</v>
      </c>
      <c r="E24" s="182">
        <f t="shared" si="3"/>
        <v>15469471</v>
      </c>
      <c r="F24" s="182">
        <f t="shared" si="3"/>
        <v>13418</v>
      </c>
      <c r="G24" s="182">
        <f t="shared" si="3"/>
        <v>2758485</v>
      </c>
      <c r="H24" s="182">
        <f t="shared" si="3"/>
        <v>607613</v>
      </c>
      <c r="I24" s="182">
        <f t="shared" si="3"/>
        <v>73327191</v>
      </c>
      <c r="J24" s="189" t="s">
        <v>1</v>
      </c>
    </row>
    <row r="25" spans="1:15" ht="13.8">
      <c r="A25" s="932"/>
      <c r="B25" s="932"/>
      <c r="C25" s="932"/>
      <c r="D25" s="932"/>
      <c r="E25" s="932"/>
      <c r="F25" s="932"/>
      <c r="G25" s="932"/>
      <c r="H25" s="932"/>
      <c r="I25" s="587"/>
      <c r="J25" s="590"/>
      <c r="L25" s="3"/>
    </row>
    <row r="26" spans="1:15" ht="12.75" customHeight="1">
      <c r="A26" s="609"/>
      <c r="B26" s="609"/>
      <c r="C26" s="609"/>
      <c r="D26" s="609"/>
      <c r="E26" s="609"/>
      <c r="F26" s="609"/>
      <c r="G26" s="609"/>
      <c r="H26" s="609"/>
      <c r="I26" s="609"/>
      <c r="J26" s="581"/>
      <c r="K26" s="166"/>
      <c r="L26" s="166"/>
      <c r="M26" s="166"/>
      <c r="N26" s="166"/>
      <c r="O26" s="166"/>
    </row>
    <row r="27" spans="1:15" ht="13.8">
      <c r="A27" s="609"/>
      <c r="B27" s="609"/>
      <c r="C27" s="609"/>
      <c r="D27" s="609"/>
      <c r="E27" s="609"/>
      <c r="F27" s="580"/>
      <c r="G27" s="580"/>
      <c r="H27" s="580"/>
      <c r="I27" s="580"/>
      <c r="J27" s="580"/>
      <c r="K27" s="232"/>
      <c r="L27" s="232"/>
      <c r="M27" s="232"/>
      <c r="N27" s="232"/>
      <c r="O27" s="232"/>
    </row>
    <row r="28" spans="1:1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</row>
    <row r="29" spans="1:15" ht="13.8">
      <c r="A29" s="166"/>
      <c r="B29" s="232"/>
      <c r="C29" s="166"/>
      <c r="D29" s="239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</row>
    <row r="30" spans="1:15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</row>
    <row r="31" spans="1:15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</row>
    <row r="32" spans="1:15" ht="13.8">
      <c r="A32" s="166"/>
      <c r="B32" s="166"/>
      <c r="C32" s="166"/>
      <c r="D32" s="166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166"/>
    </row>
    <row r="33" spans="1:15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</row>
    <row r="34" spans="1:15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</sheetData>
  <mergeCells count="7">
    <mergeCell ref="A25:H25"/>
    <mergeCell ref="I3:J3"/>
    <mergeCell ref="A1:J1"/>
    <mergeCell ref="A2:J2"/>
    <mergeCell ref="I4:J4"/>
    <mergeCell ref="A4:B4"/>
    <mergeCell ref="C4:D4"/>
  </mergeCells>
  <phoneticPr fontId="3" type="noConversion"/>
  <printOptions horizontalCentered="1" verticalCentered="1"/>
  <pageMargins left="0.23622047244094491" right="0.23" top="1.66" bottom="1.8110236220472442" header="0.19685039370078741" footer="0.78740157480314965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M27"/>
  <sheetViews>
    <sheetView rightToLeft="1" view="pageBreakPreview" zoomScaleNormal="110" zoomScaleSheetLayoutView="100" workbookViewId="0">
      <selection activeCell="A2" sqref="A2:H2"/>
    </sheetView>
  </sheetViews>
  <sheetFormatPr defaultRowHeight="13.2"/>
  <cols>
    <col min="1" max="1" width="11.33203125" customWidth="1"/>
    <col min="2" max="2" width="12.109375" customWidth="1"/>
    <col min="3" max="3" width="14.109375" customWidth="1"/>
    <col min="4" max="4" width="11.6640625" customWidth="1"/>
    <col min="5" max="5" width="14" customWidth="1"/>
    <col min="6" max="6" width="12.88671875" customWidth="1"/>
    <col min="7" max="7" width="15.109375" customWidth="1"/>
    <col min="8" max="8" width="17.33203125" customWidth="1"/>
    <col min="9" max="9" width="1" hidden="1" customWidth="1"/>
    <col min="10" max="10" width="1.44140625" hidden="1" customWidth="1"/>
  </cols>
  <sheetData>
    <row r="1" spans="1:13" ht="13.8">
      <c r="A1" s="949" t="s">
        <v>454</v>
      </c>
      <c r="B1" s="949"/>
      <c r="C1" s="949"/>
      <c r="D1" s="949"/>
      <c r="E1" s="949"/>
      <c r="F1" s="949"/>
      <c r="G1" s="949"/>
      <c r="H1" s="949"/>
    </row>
    <row r="2" spans="1:13" ht="13.8">
      <c r="A2" s="950" t="s">
        <v>479</v>
      </c>
      <c r="B2" s="950"/>
      <c r="C2" s="950"/>
      <c r="D2" s="950"/>
      <c r="E2" s="950"/>
      <c r="F2" s="950"/>
      <c r="G2" s="950"/>
      <c r="H2" s="950"/>
    </row>
    <row r="3" spans="1:13" s="4" customFormat="1" ht="17.25" customHeight="1">
      <c r="A3" s="137"/>
      <c r="B3" s="137"/>
      <c r="C3" s="137"/>
      <c r="D3" s="137"/>
      <c r="E3" s="137"/>
      <c r="F3" s="137"/>
      <c r="G3" s="946" t="s">
        <v>193</v>
      </c>
      <c r="H3" s="946"/>
    </row>
    <row r="4" spans="1:13" ht="17.25" customHeight="1" thickBot="1">
      <c r="A4" s="905" t="s">
        <v>405</v>
      </c>
      <c r="B4" s="905"/>
      <c r="C4" s="70" t="s">
        <v>160</v>
      </c>
      <c r="D4" s="11"/>
      <c r="E4" s="11"/>
      <c r="F4" s="71"/>
      <c r="G4" s="72" t="s">
        <v>300</v>
      </c>
      <c r="H4" s="73" t="s">
        <v>408</v>
      </c>
      <c r="I4" s="2"/>
    </row>
    <row r="5" spans="1:13" ht="15" customHeight="1">
      <c r="A5" s="6"/>
      <c r="B5" s="76" t="s">
        <v>42</v>
      </c>
      <c r="C5" s="76"/>
      <c r="D5" s="76" t="s">
        <v>41</v>
      </c>
      <c r="E5" s="76"/>
      <c r="F5" s="952" t="s">
        <v>0</v>
      </c>
      <c r="G5" s="952"/>
      <c r="H5" s="76"/>
    </row>
    <row r="6" spans="1:13" ht="15" customHeight="1">
      <c r="A6" s="11"/>
      <c r="B6" s="74" t="s">
        <v>155</v>
      </c>
      <c r="C6" s="74"/>
      <c r="D6" s="121" t="s">
        <v>154</v>
      </c>
      <c r="E6" s="74"/>
      <c r="F6" s="950" t="s">
        <v>1</v>
      </c>
      <c r="G6" s="950"/>
      <c r="H6" s="74"/>
    </row>
    <row r="7" spans="1:13" ht="15" customHeight="1">
      <c r="A7" s="225"/>
      <c r="B7" s="226" t="s">
        <v>34</v>
      </c>
      <c r="C7" s="226" t="s">
        <v>215</v>
      </c>
      <c r="D7" s="226" t="s">
        <v>34</v>
      </c>
      <c r="E7" s="226" t="s">
        <v>215</v>
      </c>
      <c r="F7" s="226" t="s">
        <v>34</v>
      </c>
      <c r="G7" s="226" t="s">
        <v>215</v>
      </c>
      <c r="H7" s="75"/>
    </row>
    <row r="8" spans="1:13" s="2" customFormat="1" ht="15" customHeight="1" thickBot="1">
      <c r="A8" s="436" t="s">
        <v>48</v>
      </c>
      <c r="B8" s="437" t="s">
        <v>144</v>
      </c>
      <c r="C8" s="438" t="s">
        <v>28</v>
      </c>
      <c r="D8" s="438" t="s">
        <v>144</v>
      </c>
      <c r="E8" s="438" t="s">
        <v>28</v>
      </c>
      <c r="F8" s="438" t="s">
        <v>144</v>
      </c>
      <c r="G8" s="438" t="s">
        <v>28</v>
      </c>
      <c r="H8" s="439" t="s">
        <v>25</v>
      </c>
    </row>
    <row r="9" spans="1:13" s="239" customFormat="1" ht="15" customHeight="1" thickTop="1">
      <c r="A9" s="6" t="s">
        <v>328</v>
      </c>
      <c r="B9" s="510">
        <v>5302</v>
      </c>
      <c r="C9" s="510">
        <f>B9*95</f>
        <v>503690</v>
      </c>
      <c r="D9" s="510">
        <v>3893</v>
      </c>
      <c r="E9" s="510">
        <v>227941</v>
      </c>
      <c r="F9" s="510">
        <f>B9+D9</f>
        <v>9195</v>
      </c>
      <c r="G9" s="510">
        <f>C9+E9</f>
        <v>731631</v>
      </c>
      <c r="H9" s="6" t="s">
        <v>378</v>
      </c>
    </row>
    <row r="10" spans="1:13" s="166" customFormat="1" ht="15" customHeight="1">
      <c r="A10" s="267" t="s">
        <v>29</v>
      </c>
      <c r="B10" s="441">
        <v>11982</v>
      </c>
      <c r="C10" s="234">
        <v>1118793</v>
      </c>
      <c r="D10" s="441">
        <v>6779</v>
      </c>
      <c r="E10" s="234">
        <v>471110</v>
      </c>
      <c r="F10" s="441">
        <f t="shared" ref="F10:F22" si="0">B10+D10</f>
        <v>18761</v>
      </c>
      <c r="G10" s="441">
        <f t="shared" ref="G10:G22" si="1">C10+E10</f>
        <v>1589903</v>
      </c>
      <c r="H10" s="268" t="s">
        <v>30</v>
      </c>
    </row>
    <row r="11" spans="1:13" s="166" customFormat="1" ht="15" customHeight="1">
      <c r="A11" s="6" t="s">
        <v>3</v>
      </c>
      <c r="B11" s="510">
        <v>19110</v>
      </c>
      <c r="C11" s="510">
        <v>1919809</v>
      </c>
      <c r="D11" s="510">
        <v>6653</v>
      </c>
      <c r="E11" s="510">
        <v>456783</v>
      </c>
      <c r="F11" s="510">
        <f t="shared" si="0"/>
        <v>25763</v>
      </c>
      <c r="G11" s="510">
        <f t="shared" si="1"/>
        <v>2376592</v>
      </c>
      <c r="H11" s="6" t="s">
        <v>15</v>
      </c>
    </row>
    <row r="12" spans="1:13" s="166" customFormat="1" ht="15" customHeight="1">
      <c r="A12" s="267" t="s">
        <v>319</v>
      </c>
      <c r="B12" s="441">
        <v>16115</v>
      </c>
      <c r="C12" s="234">
        <f>B12*95</f>
        <v>1530925</v>
      </c>
      <c r="D12" s="441">
        <v>3553</v>
      </c>
      <c r="E12" s="234">
        <v>262394</v>
      </c>
      <c r="F12" s="441">
        <f t="shared" si="0"/>
        <v>19668</v>
      </c>
      <c r="G12" s="441">
        <f t="shared" si="1"/>
        <v>1793319</v>
      </c>
      <c r="H12" s="268" t="s">
        <v>315</v>
      </c>
      <c r="M12" s="165"/>
    </row>
    <row r="13" spans="1:13" s="166" customFormat="1" ht="15" customHeight="1">
      <c r="A13" s="6" t="s">
        <v>4</v>
      </c>
      <c r="B13" s="510">
        <v>112432</v>
      </c>
      <c r="C13" s="510">
        <v>11263552</v>
      </c>
      <c r="D13" s="510">
        <v>7755</v>
      </c>
      <c r="E13" s="510">
        <v>589041</v>
      </c>
      <c r="F13" s="510">
        <f t="shared" si="0"/>
        <v>120187</v>
      </c>
      <c r="G13" s="510">
        <f t="shared" si="1"/>
        <v>11852593</v>
      </c>
      <c r="H13" s="6" t="s">
        <v>16</v>
      </c>
    </row>
    <row r="14" spans="1:13" s="166" customFormat="1" ht="15" customHeight="1">
      <c r="A14" s="269" t="s">
        <v>5</v>
      </c>
      <c r="B14" s="441">
        <v>10888</v>
      </c>
      <c r="C14" s="234">
        <f>B14*95</f>
        <v>1034360</v>
      </c>
      <c r="D14" s="441">
        <v>1154</v>
      </c>
      <c r="E14" s="234">
        <v>68085</v>
      </c>
      <c r="F14" s="441">
        <f t="shared" si="0"/>
        <v>12042</v>
      </c>
      <c r="G14" s="441">
        <f t="shared" si="1"/>
        <v>1102445</v>
      </c>
      <c r="H14" s="270" t="s">
        <v>23</v>
      </c>
    </row>
    <row r="15" spans="1:13" s="166" customFormat="1" ht="15" customHeight="1">
      <c r="A15" s="6" t="s">
        <v>6</v>
      </c>
      <c r="B15" s="510">
        <v>21127</v>
      </c>
      <c r="C15" s="510">
        <v>1751858</v>
      </c>
      <c r="D15" s="510">
        <v>2128</v>
      </c>
      <c r="E15" s="510">
        <v>172119</v>
      </c>
      <c r="F15" s="510">
        <f t="shared" si="0"/>
        <v>23255</v>
      </c>
      <c r="G15" s="510">
        <f t="shared" si="1"/>
        <v>1923977</v>
      </c>
      <c r="H15" s="6" t="s">
        <v>379</v>
      </c>
    </row>
    <row r="16" spans="1:13" s="166" customFormat="1" ht="15" customHeight="1">
      <c r="A16" s="269" t="s">
        <v>11</v>
      </c>
      <c r="B16" s="441">
        <v>9830</v>
      </c>
      <c r="C16" s="234">
        <f>B16*95</f>
        <v>933850</v>
      </c>
      <c r="D16" s="441">
        <v>1584</v>
      </c>
      <c r="E16" s="234">
        <v>97220</v>
      </c>
      <c r="F16" s="441">
        <f t="shared" si="0"/>
        <v>11414</v>
      </c>
      <c r="G16" s="441">
        <f t="shared" si="1"/>
        <v>1031070</v>
      </c>
      <c r="H16" s="270" t="s">
        <v>21</v>
      </c>
    </row>
    <row r="17" spans="1:10" s="166" customFormat="1" ht="15" customHeight="1">
      <c r="A17" s="6" t="s">
        <v>2</v>
      </c>
      <c r="B17" s="510">
        <v>3992</v>
      </c>
      <c r="C17" s="510">
        <v>335926</v>
      </c>
      <c r="D17" s="510">
        <v>3028</v>
      </c>
      <c r="E17" s="510">
        <v>159820</v>
      </c>
      <c r="F17" s="510">
        <f t="shared" si="0"/>
        <v>7020</v>
      </c>
      <c r="G17" s="510">
        <f t="shared" si="1"/>
        <v>495746</v>
      </c>
      <c r="H17" s="6" t="s">
        <v>14</v>
      </c>
    </row>
    <row r="18" spans="1:10" s="166" customFormat="1" ht="15" customHeight="1">
      <c r="A18" s="269" t="s">
        <v>7</v>
      </c>
      <c r="B18" s="441">
        <v>17447</v>
      </c>
      <c r="C18" s="574">
        <v>1503864</v>
      </c>
      <c r="D18" s="441">
        <v>2441</v>
      </c>
      <c r="E18" s="234">
        <v>215688</v>
      </c>
      <c r="F18" s="441">
        <f t="shared" si="0"/>
        <v>19888</v>
      </c>
      <c r="G18" s="441">
        <f t="shared" si="1"/>
        <v>1719552</v>
      </c>
      <c r="H18" s="270" t="s">
        <v>17</v>
      </c>
    </row>
    <row r="19" spans="1:10" s="166" customFormat="1" ht="15" customHeight="1">
      <c r="A19" s="6" t="s">
        <v>8</v>
      </c>
      <c r="B19" s="510">
        <v>2769</v>
      </c>
      <c r="C19" s="510">
        <v>244683</v>
      </c>
      <c r="D19" s="510">
        <v>1039</v>
      </c>
      <c r="E19" s="510">
        <v>116046</v>
      </c>
      <c r="F19" s="510">
        <f t="shared" si="0"/>
        <v>3808</v>
      </c>
      <c r="G19" s="510">
        <f t="shared" si="1"/>
        <v>360729</v>
      </c>
      <c r="H19" s="6" t="s">
        <v>18</v>
      </c>
    </row>
    <row r="20" spans="1:10" s="166" customFormat="1" ht="15" customHeight="1">
      <c r="A20" s="269" t="s">
        <v>9</v>
      </c>
      <c r="B20" s="441">
        <v>4094</v>
      </c>
      <c r="C20" s="234">
        <v>405991</v>
      </c>
      <c r="D20" s="441">
        <v>3594</v>
      </c>
      <c r="E20" s="234">
        <v>248468</v>
      </c>
      <c r="F20" s="441">
        <f t="shared" si="0"/>
        <v>7688</v>
      </c>
      <c r="G20" s="441">
        <f t="shared" si="1"/>
        <v>654459</v>
      </c>
      <c r="H20" s="270" t="s">
        <v>19</v>
      </c>
    </row>
    <row r="21" spans="1:10" s="166" customFormat="1" ht="15" customHeight="1">
      <c r="A21" s="6" t="s">
        <v>10</v>
      </c>
      <c r="B21" s="510">
        <v>3835</v>
      </c>
      <c r="C21" s="510">
        <v>372798</v>
      </c>
      <c r="D21" s="510">
        <v>736</v>
      </c>
      <c r="E21" s="510">
        <v>6289</v>
      </c>
      <c r="F21" s="510">
        <f t="shared" si="0"/>
        <v>4571</v>
      </c>
      <c r="G21" s="510">
        <f t="shared" si="1"/>
        <v>379087</v>
      </c>
      <c r="H21" s="6" t="s">
        <v>20</v>
      </c>
    </row>
    <row r="22" spans="1:10" s="166" customFormat="1" ht="15" customHeight="1">
      <c r="A22" s="269" t="s">
        <v>12</v>
      </c>
      <c r="B22" s="441">
        <v>1833</v>
      </c>
      <c r="C22" s="234">
        <v>168074</v>
      </c>
      <c r="D22" s="441">
        <v>321</v>
      </c>
      <c r="E22" s="234">
        <v>32587</v>
      </c>
      <c r="F22" s="441">
        <f t="shared" si="0"/>
        <v>2154</v>
      </c>
      <c r="G22" s="441">
        <f t="shared" si="1"/>
        <v>200661</v>
      </c>
      <c r="H22" s="270" t="s">
        <v>24</v>
      </c>
    </row>
    <row r="23" spans="1:10" s="166" customFormat="1" ht="15" customHeight="1" thickBot="1">
      <c r="A23" s="440" t="s">
        <v>13</v>
      </c>
      <c r="B23" s="510">
        <v>29144</v>
      </c>
      <c r="C23" s="510">
        <v>2994372</v>
      </c>
      <c r="D23" s="510">
        <v>3872</v>
      </c>
      <c r="E23" s="510">
        <v>255095</v>
      </c>
      <c r="F23" s="510">
        <f t="shared" ref="F23" si="2">B23+D23</f>
        <v>33016</v>
      </c>
      <c r="G23" s="510">
        <f t="shared" ref="G23" si="3">C23+E23</f>
        <v>3249467</v>
      </c>
      <c r="H23" s="440" t="s">
        <v>22</v>
      </c>
    </row>
    <row r="24" spans="1:10" s="239" customFormat="1" ht="16.5" customHeight="1" thickBot="1">
      <c r="A24" s="271" t="s">
        <v>0</v>
      </c>
      <c r="B24" s="512">
        <f t="shared" ref="B24:G24" si="4">SUM(B9:B23)</f>
        <v>269900</v>
      </c>
      <c r="C24" s="512">
        <f t="shared" si="4"/>
        <v>26082545</v>
      </c>
      <c r="D24" s="512">
        <f t="shared" si="4"/>
        <v>48530</v>
      </c>
      <c r="E24" s="519">
        <f t="shared" si="4"/>
        <v>3378686</v>
      </c>
      <c r="F24" s="512">
        <f t="shared" si="4"/>
        <v>318430</v>
      </c>
      <c r="G24" s="513">
        <f t="shared" si="4"/>
        <v>29461231</v>
      </c>
      <c r="H24" s="271" t="s">
        <v>1</v>
      </c>
    </row>
    <row r="25" spans="1:10" ht="13.8">
      <c r="A25" s="932"/>
      <c r="B25" s="932"/>
      <c r="C25" s="932"/>
      <c r="D25" s="932"/>
      <c r="E25" s="587"/>
      <c r="F25" s="587"/>
      <c r="G25" s="587"/>
      <c r="H25" s="951"/>
      <c r="I25" s="951"/>
      <c r="J25" s="593"/>
    </row>
    <row r="26" spans="1:10" ht="13.8">
      <c r="A26" s="587"/>
      <c r="B26" s="608"/>
      <c r="C26" s="608"/>
      <c r="D26" s="608"/>
      <c r="E26" s="608"/>
      <c r="F26" s="608"/>
      <c r="G26" s="608"/>
      <c r="H26" s="608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mergeCells count="8">
    <mergeCell ref="G3:H3"/>
    <mergeCell ref="A4:B4"/>
    <mergeCell ref="A1:H1"/>
    <mergeCell ref="A2:H2"/>
    <mergeCell ref="H25:I25"/>
    <mergeCell ref="A25:D25"/>
    <mergeCell ref="F5:G5"/>
    <mergeCell ref="F6:G6"/>
  </mergeCells>
  <phoneticPr fontId="3" type="noConversion"/>
  <printOptions horizontalCentered="1" verticalCentered="1"/>
  <pageMargins left="0.23622047244094491" right="0.27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8:J27"/>
  <sheetViews>
    <sheetView rightToLeft="1" view="pageBreakPreview" zoomScaleNormal="80" zoomScaleSheetLayoutView="100" workbookViewId="0">
      <selection activeCell="R5" sqref="R5"/>
    </sheetView>
  </sheetViews>
  <sheetFormatPr defaultRowHeight="13.2"/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honeticPr fontId="3" type="noConversion"/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M30"/>
  <sheetViews>
    <sheetView rightToLeft="1" showWhiteSpace="0" view="pageBreakPreview" zoomScale="91" zoomScaleNormal="110" zoomScaleSheetLayoutView="91" workbookViewId="0">
      <selection activeCell="A2" sqref="A2:J2"/>
    </sheetView>
  </sheetViews>
  <sheetFormatPr defaultRowHeight="13.2"/>
  <cols>
    <col min="1" max="1" width="8.6640625" customWidth="1"/>
    <col min="2" max="2" width="12.88671875" style="123" customWidth="1"/>
    <col min="3" max="3" width="11.6640625" style="3" customWidth="1"/>
    <col min="4" max="4" width="11.88671875" style="3" customWidth="1"/>
    <col min="5" max="5" width="13.33203125" style="3" customWidth="1"/>
    <col min="6" max="6" width="12.109375" style="3" customWidth="1"/>
    <col min="7" max="7" width="13.5546875" style="3" customWidth="1"/>
    <col min="8" max="8" width="8.88671875" style="3" customWidth="1"/>
    <col min="9" max="9" width="11.5546875" style="3" customWidth="1"/>
    <col min="10" max="10" width="16.109375" customWidth="1"/>
    <col min="11" max="11" width="0.33203125" hidden="1" customWidth="1"/>
    <col min="12" max="12" width="11.6640625" customWidth="1"/>
  </cols>
  <sheetData>
    <row r="1" spans="1:13" ht="24.75" customHeight="1">
      <c r="A1" s="893" t="s">
        <v>456</v>
      </c>
      <c r="B1" s="893"/>
      <c r="C1" s="893"/>
      <c r="D1" s="893"/>
      <c r="E1" s="893"/>
      <c r="F1" s="893"/>
      <c r="G1" s="893"/>
      <c r="H1" s="893"/>
      <c r="I1" s="893"/>
      <c r="J1" s="893"/>
      <c r="K1" s="11"/>
    </row>
    <row r="2" spans="1:13" ht="13.8">
      <c r="A2" s="883" t="s">
        <v>476</v>
      </c>
      <c r="B2" s="883"/>
      <c r="C2" s="883"/>
      <c r="D2" s="883"/>
      <c r="E2" s="883"/>
      <c r="F2" s="883"/>
      <c r="G2" s="883"/>
      <c r="H2" s="883"/>
      <c r="I2" s="883"/>
      <c r="J2" s="883"/>
      <c r="K2" s="11"/>
    </row>
    <row r="3" spans="1:13" s="4" customFormat="1" ht="13.8">
      <c r="A3" s="134"/>
      <c r="B3" s="368"/>
      <c r="C3" s="134"/>
      <c r="D3" s="134"/>
      <c r="E3" s="134"/>
      <c r="F3" s="134"/>
      <c r="G3" s="134"/>
      <c r="H3" s="134"/>
      <c r="I3" s="940" t="s">
        <v>193</v>
      </c>
      <c r="J3" s="940"/>
      <c r="K3" s="11"/>
    </row>
    <row r="4" spans="1:13" ht="15.75" customHeight="1" thickBot="1">
      <c r="A4" s="905" t="s">
        <v>405</v>
      </c>
      <c r="B4" s="905"/>
      <c r="C4" s="955" t="s">
        <v>252</v>
      </c>
      <c r="D4" s="955"/>
      <c r="E4" s="78"/>
      <c r="F4" s="78"/>
      <c r="G4" s="38"/>
      <c r="H4" s="38"/>
      <c r="I4" s="38" t="s">
        <v>301</v>
      </c>
      <c r="J4" s="36" t="s">
        <v>408</v>
      </c>
      <c r="K4" s="26"/>
      <c r="L4" s="2"/>
    </row>
    <row r="5" spans="1:13" ht="15" customHeight="1">
      <c r="A5" s="23"/>
      <c r="B5" s="369" t="s">
        <v>41</v>
      </c>
      <c r="C5" s="80"/>
      <c r="D5" s="80" t="s">
        <v>56</v>
      </c>
      <c r="E5" s="80"/>
      <c r="F5" s="80" t="s">
        <v>57</v>
      </c>
      <c r="G5" s="80"/>
      <c r="H5" s="80" t="s">
        <v>59</v>
      </c>
      <c r="I5" s="81"/>
      <c r="J5" s="17"/>
      <c r="K5" s="24"/>
    </row>
    <row r="6" spans="1:13" ht="15" customHeight="1">
      <c r="A6" s="26"/>
      <c r="B6" s="368" t="s">
        <v>154</v>
      </c>
      <c r="C6" s="79"/>
      <c r="D6" s="79" t="s">
        <v>312</v>
      </c>
      <c r="E6" s="79"/>
      <c r="F6" s="79" t="s">
        <v>257</v>
      </c>
      <c r="G6" s="79"/>
      <c r="H6" s="79" t="s">
        <v>256</v>
      </c>
      <c r="I6" s="29"/>
      <c r="J6" s="25"/>
      <c r="K6" s="25"/>
      <c r="M6" s="4"/>
    </row>
    <row r="7" spans="1:13" s="181" customFormat="1" ht="15" customHeight="1">
      <c r="A7" s="113"/>
      <c r="B7" s="370" t="s">
        <v>176</v>
      </c>
      <c r="C7" s="33" t="s">
        <v>215</v>
      </c>
      <c r="D7" s="33" t="s">
        <v>176</v>
      </c>
      <c r="E7" s="33" t="s">
        <v>215</v>
      </c>
      <c r="F7" s="33" t="s">
        <v>176</v>
      </c>
      <c r="G7" s="33" t="s">
        <v>215</v>
      </c>
      <c r="H7" s="33" t="s">
        <v>176</v>
      </c>
      <c r="I7" s="33" t="s">
        <v>215</v>
      </c>
      <c r="J7" s="113"/>
      <c r="K7" s="112"/>
    </row>
    <row r="8" spans="1:13" s="181" customFormat="1" ht="15" customHeight="1" thickBot="1">
      <c r="A8" s="418" t="s">
        <v>55</v>
      </c>
      <c r="B8" s="442" t="s">
        <v>119</v>
      </c>
      <c r="C8" s="443" t="s">
        <v>28</v>
      </c>
      <c r="D8" s="443" t="s">
        <v>119</v>
      </c>
      <c r="E8" s="443" t="s">
        <v>28</v>
      </c>
      <c r="F8" s="443" t="s">
        <v>119</v>
      </c>
      <c r="G8" s="443" t="s">
        <v>28</v>
      </c>
      <c r="H8" s="443" t="s">
        <v>119</v>
      </c>
      <c r="I8" s="443" t="s">
        <v>28</v>
      </c>
      <c r="J8" s="444" t="s">
        <v>25</v>
      </c>
      <c r="K8" s="112"/>
    </row>
    <row r="9" spans="1:13" s="239" customFormat="1" ht="15" customHeight="1" thickTop="1">
      <c r="A9" s="23" t="s">
        <v>328</v>
      </c>
      <c r="B9" s="47">
        <v>485</v>
      </c>
      <c r="C9" s="47">
        <v>6084</v>
      </c>
      <c r="D9" s="23">
        <v>782</v>
      </c>
      <c r="E9" s="23">
        <f>D9*16</f>
        <v>12512</v>
      </c>
      <c r="F9" s="23">
        <v>1017</v>
      </c>
      <c r="G9" s="47">
        <v>20339</v>
      </c>
      <c r="H9" s="23">
        <v>0</v>
      </c>
      <c r="I9" s="47">
        <v>0</v>
      </c>
      <c r="J9" s="23" t="s">
        <v>378</v>
      </c>
      <c r="K9" s="238"/>
    </row>
    <row r="10" spans="1:13" s="166" customFormat="1" ht="15" customHeight="1">
      <c r="A10" s="232" t="s">
        <v>29</v>
      </c>
      <c r="B10" s="233">
        <v>22</v>
      </c>
      <c r="C10" s="233">
        <f>B10*12</f>
        <v>264</v>
      </c>
      <c r="D10" s="234">
        <v>1169</v>
      </c>
      <c r="E10" s="234">
        <f t="shared" ref="E10:E15" si="0">D10*16</f>
        <v>18704</v>
      </c>
      <c r="F10" s="235">
        <v>777</v>
      </c>
      <c r="G10" s="234">
        <v>11028</v>
      </c>
      <c r="H10" s="236">
        <v>0</v>
      </c>
      <c r="I10" s="234">
        <v>0</v>
      </c>
      <c r="J10" s="237" t="s">
        <v>30</v>
      </c>
      <c r="K10" s="165"/>
    </row>
    <row r="11" spans="1:13" s="166" customFormat="1" ht="15" customHeight="1">
      <c r="A11" s="27" t="s">
        <v>3</v>
      </c>
      <c r="B11" s="47">
        <v>1247</v>
      </c>
      <c r="C11" s="47">
        <f t="shared" ref="C11:C15" si="1">B11*12</f>
        <v>14964</v>
      </c>
      <c r="D11" s="47">
        <v>2589</v>
      </c>
      <c r="E11" s="47">
        <f t="shared" si="0"/>
        <v>41424</v>
      </c>
      <c r="F11" s="47">
        <v>1975</v>
      </c>
      <c r="G11" s="47">
        <v>29638</v>
      </c>
      <c r="H11" s="47">
        <v>0</v>
      </c>
      <c r="I11" s="47">
        <v>0</v>
      </c>
      <c r="J11" s="27" t="s">
        <v>15</v>
      </c>
      <c r="K11" s="165"/>
    </row>
    <row r="12" spans="1:13" s="166" customFormat="1" ht="15" customHeight="1">
      <c r="A12" s="232" t="s">
        <v>319</v>
      </c>
      <c r="B12" s="233">
        <v>742</v>
      </c>
      <c r="C12" s="233">
        <f t="shared" si="1"/>
        <v>8904</v>
      </c>
      <c r="D12" s="234">
        <v>1313</v>
      </c>
      <c r="E12" s="234">
        <f t="shared" si="0"/>
        <v>21008</v>
      </c>
      <c r="F12" s="235">
        <v>1743</v>
      </c>
      <c r="G12" s="234">
        <v>24716</v>
      </c>
      <c r="H12" s="236">
        <v>2</v>
      </c>
      <c r="I12" s="234">
        <f>H12*36</f>
        <v>72</v>
      </c>
      <c r="J12" s="237" t="s">
        <v>315</v>
      </c>
      <c r="K12" s="165"/>
    </row>
    <row r="13" spans="1:13" s="166" customFormat="1" ht="15" customHeight="1">
      <c r="A13" s="27" t="s">
        <v>4</v>
      </c>
      <c r="B13" s="47">
        <v>4179</v>
      </c>
      <c r="C13" s="47">
        <f t="shared" si="1"/>
        <v>50148</v>
      </c>
      <c r="D13" s="27">
        <v>10696</v>
      </c>
      <c r="E13" s="27">
        <f t="shared" si="0"/>
        <v>171136</v>
      </c>
      <c r="F13" s="47">
        <v>4366</v>
      </c>
      <c r="G13" s="47">
        <v>68038</v>
      </c>
      <c r="H13" s="47">
        <v>204</v>
      </c>
      <c r="I13" s="47">
        <v>8101</v>
      </c>
      <c r="J13" s="27" t="s">
        <v>16</v>
      </c>
      <c r="K13" s="165"/>
    </row>
    <row r="14" spans="1:13" s="166" customFormat="1" ht="15" customHeight="1">
      <c r="A14" s="240" t="s">
        <v>5</v>
      </c>
      <c r="B14" s="233">
        <v>1248</v>
      </c>
      <c r="C14" s="233">
        <f t="shared" si="1"/>
        <v>14976</v>
      </c>
      <c r="D14" s="234">
        <v>2668</v>
      </c>
      <c r="E14" s="234">
        <f t="shared" si="0"/>
        <v>42688</v>
      </c>
      <c r="F14" s="235">
        <v>1230</v>
      </c>
      <c r="G14" s="234">
        <v>18315</v>
      </c>
      <c r="H14" s="236">
        <v>77</v>
      </c>
      <c r="I14" s="234">
        <f>H14*36</f>
        <v>2772</v>
      </c>
      <c r="J14" s="241" t="s">
        <v>23</v>
      </c>
      <c r="K14" s="165"/>
    </row>
    <row r="15" spans="1:13" s="166" customFormat="1" ht="15" customHeight="1">
      <c r="A15" s="27" t="s">
        <v>6</v>
      </c>
      <c r="B15" s="47">
        <v>70</v>
      </c>
      <c r="C15" s="47">
        <f t="shared" si="1"/>
        <v>840</v>
      </c>
      <c r="D15" s="47">
        <v>2150</v>
      </c>
      <c r="E15" s="47">
        <f t="shared" si="0"/>
        <v>34400</v>
      </c>
      <c r="F15" s="47">
        <v>866</v>
      </c>
      <c r="G15" s="47">
        <v>13001</v>
      </c>
      <c r="H15" s="47">
        <v>39</v>
      </c>
      <c r="I15" s="47">
        <f t="shared" ref="I15:I16" si="2">H15*36</f>
        <v>1404</v>
      </c>
      <c r="J15" s="27" t="s">
        <v>379</v>
      </c>
      <c r="K15" s="165"/>
    </row>
    <row r="16" spans="1:13" s="166" customFormat="1" ht="18" customHeight="1">
      <c r="A16" s="240" t="s">
        <v>11</v>
      </c>
      <c r="B16" s="233">
        <v>428</v>
      </c>
      <c r="C16" s="233">
        <v>6859</v>
      </c>
      <c r="D16" s="234">
        <v>1503</v>
      </c>
      <c r="E16" s="234">
        <v>24063</v>
      </c>
      <c r="F16" s="235">
        <v>819</v>
      </c>
      <c r="G16" s="234">
        <v>12274</v>
      </c>
      <c r="H16" s="236">
        <v>136</v>
      </c>
      <c r="I16" s="234">
        <f t="shared" si="2"/>
        <v>4896</v>
      </c>
      <c r="J16" s="241" t="s">
        <v>21</v>
      </c>
      <c r="K16" s="165"/>
    </row>
    <row r="17" spans="1:13" s="166" customFormat="1" ht="18" customHeight="1">
      <c r="A17" s="27" t="s">
        <v>2</v>
      </c>
      <c r="B17" s="47">
        <v>13</v>
      </c>
      <c r="C17" s="47">
        <v>127</v>
      </c>
      <c r="D17" s="47">
        <v>403</v>
      </c>
      <c r="E17" s="47">
        <f>D17*16</f>
        <v>6448</v>
      </c>
      <c r="F17" s="47">
        <v>515</v>
      </c>
      <c r="G17" s="47">
        <v>7103</v>
      </c>
      <c r="H17" s="47">
        <v>0</v>
      </c>
      <c r="I17" s="47">
        <v>0</v>
      </c>
      <c r="J17" s="27" t="s">
        <v>14</v>
      </c>
      <c r="K17" s="165"/>
    </row>
    <row r="18" spans="1:13" s="166" customFormat="1" ht="15" customHeight="1">
      <c r="A18" s="240" t="s">
        <v>7</v>
      </c>
      <c r="B18" s="233">
        <v>1141</v>
      </c>
      <c r="C18" s="574">
        <v>9789</v>
      </c>
      <c r="D18" s="234">
        <v>3908</v>
      </c>
      <c r="E18" s="234">
        <f t="shared" ref="E18:E23" si="3">D18*16</f>
        <v>62528</v>
      </c>
      <c r="F18" s="235">
        <v>2234</v>
      </c>
      <c r="G18" s="234">
        <v>24484</v>
      </c>
      <c r="H18" s="236">
        <v>0</v>
      </c>
      <c r="I18" s="234">
        <v>0</v>
      </c>
      <c r="J18" s="241" t="s">
        <v>17</v>
      </c>
      <c r="K18" s="165"/>
    </row>
    <row r="19" spans="1:13" s="166" customFormat="1" ht="15" customHeight="1">
      <c r="A19" s="27" t="s">
        <v>8</v>
      </c>
      <c r="B19" s="47">
        <v>616</v>
      </c>
      <c r="C19" s="47">
        <v>7991</v>
      </c>
      <c r="D19" s="47">
        <v>1354</v>
      </c>
      <c r="E19" s="47">
        <f t="shared" si="3"/>
        <v>21664</v>
      </c>
      <c r="F19" s="47">
        <v>1219</v>
      </c>
      <c r="G19" s="47">
        <v>18278</v>
      </c>
      <c r="H19" s="47">
        <v>0</v>
      </c>
      <c r="I19" s="47">
        <v>0</v>
      </c>
      <c r="J19" s="27" t="s">
        <v>18</v>
      </c>
      <c r="K19" s="165"/>
    </row>
    <row r="20" spans="1:13" s="166" customFormat="1" ht="14.25" customHeight="1">
      <c r="A20" s="240" t="s">
        <v>9</v>
      </c>
      <c r="B20" s="233">
        <v>754</v>
      </c>
      <c r="C20" s="233">
        <f>B20*12</f>
        <v>9048</v>
      </c>
      <c r="D20" s="234">
        <v>718</v>
      </c>
      <c r="E20" s="234">
        <f t="shared" si="3"/>
        <v>11488</v>
      </c>
      <c r="F20" s="235">
        <v>1128</v>
      </c>
      <c r="G20" s="234">
        <v>16486</v>
      </c>
      <c r="H20" s="236">
        <v>0</v>
      </c>
      <c r="I20" s="234">
        <v>0</v>
      </c>
      <c r="J20" s="241" t="s">
        <v>19</v>
      </c>
      <c r="K20" s="165"/>
    </row>
    <row r="21" spans="1:13" s="166" customFormat="1" ht="12.75" customHeight="1">
      <c r="A21" s="27" t="s">
        <v>10</v>
      </c>
      <c r="B21" s="47">
        <v>1505</v>
      </c>
      <c r="C21" s="47">
        <f>B21*12</f>
        <v>18060</v>
      </c>
      <c r="D21" s="47">
        <v>1620</v>
      </c>
      <c r="E21" s="47">
        <f t="shared" si="3"/>
        <v>25920</v>
      </c>
      <c r="F21" s="47">
        <v>1818</v>
      </c>
      <c r="G21" s="47">
        <v>27277</v>
      </c>
      <c r="H21" s="47">
        <v>0</v>
      </c>
      <c r="I21" s="47">
        <v>0</v>
      </c>
      <c r="J21" s="27" t="s">
        <v>20</v>
      </c>
      <c r="K21" s="165"/>
    </row>
    <row r="22" spans="1:13" s="166" customFormat="1" ht="15" customHeight="1">
      <c r="A22" s="240" t="s">
        <v>12</v>
      </c>
      <c r="B22" s="233">
        <v>176</v>
      </c>
      <c r="C22" s="233">
        <v>1869</v>
      </c>
      <c r="D22" s="234">
        <v>119</v>
      </c>
      <c r="E22" s="234">
        <f t="shared" si="3"/>
        <v>1904</v>
      </c>
      <c r="F22" s="235">
        <v>370</v>
      </c>
      <c r="G22" s="234">
        <v>5277</v>
      </c>
      <c r="H22" s="236">
        <v>16</v>
      </c>
      <c r="I22" s="234">
        <v>495</v>
      </c>
      <c r="J22" s="241" t="s">
        <v>24</v>
      </c>
      <c r="K22" s="165"/>
    </row>
    <row r="23" spans="1:13" s="166" customFormat="1" ht="15" customHeight="1" thickBot="1">
      <c r="A23" s="27" t="s">
        <v>13</v>
      </c>
      <c r="B23" s="47">
        <v>246</v>
      </c>
      <c r="C23" s="47">
        <f>B23*12</f>
        <v>2952</v>
      </c>
      <c r="D23" s="47">
        <v>3081</v>
      </c>
      <c r="E23" s="47">
        <f t="shared" si="3"/>
        <v>49296</v>
      </c>
      <c r="F23" s="47">
        <v>3515</v>
      </c>
      <c r="G23" s="47">
        <v>53726</v>
      </c>
      <c r="H23" s="47">
        <v>3</v>
      </c>
      <c r="I23" s="47">
        <v>113</v>
      </c>
      <c r="J23" s="27" t="s">
        <v>22</v>
      </c>
      <c r="K23" s="165"/>
    </row>
    <row r="24" spans="1:13" s="110" customFormat="1" ht="17.25" customHeight="1" thickBot="1">
      <c r="A24" s="445" t="s">
        <v>0</v>
      </c>
      <c r="B24" s="182">
        <f>SUM(B9:B23)</f>
        <v>12872</v>
      </c>
      <c r="C24" s="182">
        <f t="shared" ref="C24:I24" si="4">SUM(C9:C23)</f>
        <v>152875</v>
      </c>
      <c r="D24" s="182">
        <f t="shared" si="4"/>
        <v>34073</v>
      </c>
      <c r="E24" s="182">
        <f t="shared" si="4"/>
        <v>545183</v>
      </c>
      <c r="F24" s="182">
        <f t="shared" si="4"/>
        <v>23592</v>
      </c>
      <c r="G24" s="182">
        <f t="shared" si="4"/>
        <v>349980</v>
      </c>
      <c r="H24" s="182">
        <f t="shared" si="4"/>
        <v>477</v>
      </c>
      <c r="I24" s="182">
        <f t="shared" si="4"/>
        <v>17853</v>
      </c>
      <c r="J24" s="446" t="s">
        <v>1</v>
      </c>
      <c r="K24" s="41"/>
    </row>
    <row r="25" spans="1:13" s="4" customFormat="1" ht="17.25" customHeight="1">
      <c r="A25" s="932"/>
      <c r="B25" s="932"/>
      <c r="C25" s="932"/>
      <c r="D25" s="932"/>
      <c r="E25" s="932"/>
      <c r="F25" s="932"/>
      <c r="G25" s="932"/>
      <c r="H25" s="932"/>
      <c r="I25" s="592"/>
      <c r="J25" s="606"/>
      <c r="K25" s="11"/>
    </row>
    <row r="26" spans="1:13" ht="13.8">
      <c r="A26" s="587"/>
      <c r="B26" s="607"/>
      <c r="C26" s="587"/>
      <c r="D26" s="587"/>
      <c r="E26" s="587"/>
      <c r="F26" s="587"/>
      <c r="G26" s="587"/>
      <c r="H26" s="593"/>
      <c r="I26" s="593"/>
      <c r="J26" s="590"/>
    </row>
    <row r="27" spans="1:13" ht="16.5" customHeight="1">
      <c r="A27" s="953"/>
      <c r="B27" s="953"/>
      <c r="C27" s="587"/>
      <c r="D27" s="587"/>
      <c r="E27" s="587"/>
      <c r="F27" s="587"/>
      <c r="G27" s="587"/>
      <c r="H27" s="593"/>
      <c r="I27" s="954"/>
      <c r="J27" s="954"/>
    </row>
    <row r="28" spans="1:13" ht="13.8">
      <c r="E28" s="244"/>
      <c r="F28" s="238"/>
      <c r="G28" s="244"/>
      <c r="H28" s="244"/>
      <c r="I28" s="244"/>
      <c r="J28" s="166"/>
      <c r="K28" s="166"/>
      <c r="L28" s="166"/>
      <c r="M28" s="166"/>
    </row>
    <row r="29" spans="1:13">
      <c r="E29" s="244"/>
      <c r="F29" s="244"/>
      <c r="G29" s="244"/>
      <c r="H29" s="244"/>
      <c r="I29" s="244"/>
      <c r="J29" s="166"/>
      <c r="K29" s="166"/>
      <c r="L29" s="166"/>
      <c r="M29" s="166"/>
    </row>
    <row r="30" spans="1:13">
      <c r="E30" s="244"/>
      <c r="F30" s="244"/>
      <c r="G30" s="244"/>
      <c r="H30" s="244"/>
      <c r="I30" s="244"/>
      <c r="J30" s="166"/>
      <c r="K30" s="166"/>
      <c r="L30" s="166"/>
      <c r="M30" s="166"/>
    </row>
  </sheetData>
  <mergeCells count="8">
    <mergeCell ref="I3:J3"/>
    <mergeCell ref="A27:B27"/>
    <mergeCell ref="I27:J27"/>
    <mergeCell ref="A1:J1"/>
    <mergeCell ref="A2:J2"/>
    <mergeCell ref="A4:B4"/>
    <mergeCell ref="C4:D4"/>
    <mergeCell ref="A25:H25"/>
  </mergeCells>
  <phoneticPr fontId="3" type="noConversion"/>
  <printOptions horizontalCentered="1" verticalCentered="1"/>
  <pageMargins left="0.23622047244094491" right="0.23" top="1.3779527559055118" bottom="1.8110236220472442" header="0.19685039370078741" footer="0.78740157480314965"/>
  <pageSetup paperSize="9" scale="90" orientation="landscape" r:id="rId1"/>
  <headerFooter alignWithMargins="0"/>
  <cellWatches>
    <cellWatch r="C9"/>
  </cellWatch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M34"/>
  <sheetViews>
    <sheetView rightToLeft="1" view="pageBreakPreview" zoomScale="95" zoomScaleNormal="120" zoomScaleSheetLayoutView="95" workbookViewId="0">
      <selection activeCell="A2" sqref="A2:J2"/>
    </sheetView>
  </sheetViews>
  <sheetFormatPr defaultRowHeight="13.2"/>
  <cols>
    <col min="1" max="1" width="9.33203125" bestFit="1" customWidth="1"/>
    <col min="2" max="2" width="10.44140625" bestFit="1" customWidth="1"/>
    <col min="3" max="3" width="10.88671875" customWidth="1"/>
    <col min="4" max="4" width="9.44140625" customWidth="1"/>
    <col min="5" max="5" width="11" customWidth="1"/>
    <col min="6" max="6" width="10.33203125" customWidth="1"/>
    <col min="7" max="7" width="11.88671875" customWidth="1"/>
    <col min="8" max="8" width="10.109375" customWidth="1"/>
    <col min="9" max="9" width="12.44140625" customWidth="1"/>
    <col min="10" max="10" width="16" bestFit="1" customWidth="1"/>
    <col min="11" max="11" width="6.6640625" customWidth="1"/>
  </cols>
  <sheetData>
    <row r="1" spans="1:13" ht="15" customHeight="1">
      <c r="A1" s="893" t="s">
        <v>456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3" ht="12.75" customHeight="1">
      <c r="A2" s="956" t="s">
        <v>476</v>
      </c>
      <c r="B2" s="956"/>
      <c r="C2" s="956"/>
      <c r="D2" s="956"/>
      <c r="E2" s="956"/>
      <c r="F2" s="956"/>
      <c r="G2" s="956"/>
      <c r="H2" s="956"/>
      <c r="I2" s="956"/>
      <c r="J2" s="956"/>
      <c r="K2" t="s">
        <v>320</v>
      </c>
    </row>
    <row r="3" spans="1:13" s="4" customFormat="1" ht="12.75" customHeight="1">
      <c r="A3" s="134"/>
      <c r="B3" s="134"/>
      <c r="C3" s="134"/>
      <c r="D3" s="134"/>
      <c r="E3" s="134"/>
      <c r="F3" s="134"/>
      <c r="G3" s="134"/>
      <c r="H3" s="134"/>
      <c r="I3" s="940" t="s">
        <v>193</v>
      </c>
      <c r="J3" s="940"/>
    </row>
    <row r="4" spans="1:13" ht="31.5" customHeight="1" thickBot="1">
      <c r="A4" s="905" t="s">
        <v>405</v>
      </c>
      <c r="B4" s="905"/>
      <c r="C4" s="955" t="s">
        <v>252</v>
      </c>
      <c r="D4" s="955"/>
      <c r="E4" s="14"/>
      <c r="F4" s="16"/>
      <c r="G4" s="16"/>
      <c r="H4" s="14"/>
      <c r="I4" s="38" t="s">
        <v>258</v>
      </c>
      <c r="J4" s="147" t="s">
        <v>412</v>
      </c>
    </row>
    <row r="5" spans="1:13" ht="30" customHeight="1">
      <c r="A5" s="6"/>
      <c r="B5" s="22" t="s">
        <v>60</v>
      </c>
      <c r="C5" s="21"/>
      <c r="D5" s="22" t="s">
        <v>58</v>
      </c>
      <c r="E5" s="21"/>
      <c r="F5" s="22" t="s">
        <v>61</v>
      </c>
      <c r="G5" s="21"/>
      <c r="H5" s="42" t="s">
        <v>0</v>
      </c>
      <c r="I5" s="77"/>
      <c r="J5" s="6"/>
    </row>
    <row r="6" spans="1:13" ht="29.25" customHeight="1">
      <c r="A6" s="11"/>
      <c r="B6" s="24" t="s">
        <v>190</v>
      </c>
      <c r="C6" s="24"/>
      <c r="D6" s="124" t="s">
        <v>259</v>
      </c>
      <c r="E6" s="24"/>
      <c r="F6" s="118" t="s">
        <v>191</v>
      </c>
      <c r="G6" s="24"/>
      <c r="H6" s="15" t="s">
        <v>1</v>
      </c>
      <c r="I6" s="19"/>
      <c r="J6" s="11"/>
    </row>
    <row r="7" spans="1:13" s="181" customFormat="1" ht="12.75" customHeight="1">
      <c r="A7" s="113"/>
      <c r="B7" s="172" t="s">
        <v>212</v>
      </c>
      <c r="C7" s="172" t="s">
        <v>215</v>
      </c>
      <c r="D7" s="172" t="s">
        <v>212</v>
      </c>
      <c r="E7" s="172" t="s">
        <v>215</v>
      </c>
      <c r="F7" s="172" t="s">
        <v>212</v>
      </c>
      <c r="G7" s="172" t="s">
        <v>215</v>
      </c>
      <c r="H7" s="172" t="s">
        <v>212</v>
      </c>
      <c r="I7" s="173" t="s">
        <v>215</v>
      </c>
      <c r="J7" s="170"/>
    </row>
    <row r="8" spans="1:13" s="239" customFormat="1" ht="15" customHeight="1" thickBot="1">
      <c r="A8" s="447" t="s">
        <v>55</v>
      </c>
      <c r="B8" s="447" t="s">
        <v>119</v>
      </c>
      <c r="C8" s="447" t="s">
        <v>260</v>
      </c>
      <c r="D8" s="447" t="s">
        <v>119</v>
      </c>
      <c r="E8" s="447" t="s">
        <v>260</v>
      </c>
      <c r="F8" s="447" t="s">
        <v>119</v>
      </c>
      <c r="G8" s="447" t="s">
        <v>28</v>
      </c>
      <c r="H8" s="447" t="s">
        <v>213</v>
      </c>
      <c r="I8" s="447" t="s">
        <v>174</v>
      </c>
      <c r="J8" s="447" t="s">
        <v>25</v>
      </c>
    </row>
    <row r="9" spans="1:13" s="239" customFormat="1" ht="15" customHeight="1" thickTop="1">
      <c r="A9" s="6" t="s">
        <v>328</v>
      </c>
      <c r="B9" s="6">
        <v>0</v>
      </c>
      <c r="C9" s="6">
        <v>0</v>
      </c>
      <c r="D9" s="6">
        <v>1</v>
      </c>
      <c r="E9" s="6">
        <f>D9*50</f>
        <v>50</v>
      </c>
      <c r="F9" s="6">
        <v>0</v>
      </c>
      <c r="G9" s="6">
        <v>0</v>
      </c>
      <c r="H9" s="47">
        <f>كاشي!B9+كاشي!D9+كاشي!F9+كاشي!H9+كاشي2!B9+كاشي2!D9+كاشي2!F9</f>
        <v>2285</v>
      </c>
      <c r="I9" s="47">
        <f>كاشي!C9+كاشي!E9+كاشي!G9+كاشي!I9+كاشي2!C9+كاشي2!E9+كاشي2!G9</f>
        <v>38985</v>
      </c>
      <c r="J9" s="6" t="s">
        <v>378</v>
      </c>
      <c r="M9" s="243"/>
    </row>
    <row r="10" spans="1:13" s="166" customFormat="1" ht="15" customHeight="1">
      <c r="A10" s="232" t="s">
        <v>29</v>
      </c>
      <c r="B10" s="272">
        <v>0</v>
      </c>
      <c r="C10" s="273">
        <v>0</v>
      </c>
      <c r="D10" s="273">
        <v>0</v>
      </c>
      <c r="E10" s="273">
        <v>0</v>
      </c>
      <c r="F10" s="274">
        <v>50</v>
      </c>
      <c r="G10" s="234">
        <v>431</v>
      </c>
      <c r="H10" s="234">
        <f>كاشي!B10+كاشي!D10+كاشي!F10+كاشي!H10+كاشي2!B10+كاشي2!D10+كاشي2!F10</f>
        <v>2018</v>
      </c>
      <c r="I10" s="234">
        <f>كاشي!C10+كاشي!E10+كاشي!G10+كاشي!I10+كاشي2!C10+كاشي2!E10+كاشي2!G10</f>
        <v>30427</v>
      </c>
      <c r="J10" s="237" t="s">
        <v>30</v>
      </c>
      <c r="M10" s="244"/>
    </row>
    <row r="11" spans="1:13" s="166" customFormat="1" ht="15" customHeight="1">
      <c r="A11" s="6" t="s">
        <v>3</v>
      </c>
      <c r="B11" s="47">
        <v>0</v>
      </c>
      <c r="C11" s="47">
        <v>0</v>
      </c>
      <c r="D11" s="47">
        <v>0</v>
      </c>
      <c r="E11" s="47">
        <v>0</v>
      </c>
      <c r="F11" s="47">
        <v>155</v>
      </c>
      <c r="G11" s="47">
        <v>810</v>
      </c>
      <c r="H11" s="47">
        <f>كاشي!B11+كاشي!D11+كاشي!F11+كاشي!H11+كاشي2!B11+كاشي2!D11+كاشي2!F11</f>
        <v>5966</v>
      </c>
      <c r="I11" s="47">
        <f>كاشي!C11+كاشي!E11+كاشي!G11+كاشي!I11+كاشي2!C11+كاشي2!E11+كاشي2!G11</f>
        <v>86836</v>
      </c>
      <c r="J11" s="6" t="s">
        <v>15</v>
      </c>
      <c r="M11" s="244"/>
    </row>
    <row r="12" spans="1:13" s="166" customFormat="1" ht="15" customHeight="1">
      <c r="A12" s="232" t="s">
        <v>319</v>
      </c>
      <c r="B12" s="272">
        <v>0</v>
      </c>
      <c r="C12" s="273">
        <v>0</v>
      </c>
      <c r="D12" s="273">
        <v>0</v>
      </c>
      <c r="E12" s="273">
        <v>0</v>
      </c>
      <c r="F12" s="274">
        <v>142</v>
      </c>
      <c r="G12" s="234">
        <v>721</v>
      </c>
      <c r="H12" s="234">
        <f>كاشي!B12+كاشي!D12+كاشي!F12+كاشي!H12+كاشي2!B12+كاشي2!D12+كاشي2!F12</f>
        <v>3942</v>
      </c>
      <c r="I12" s="234">
        <f>كاشي!C12+كاشي!E12+كاشي!G12+كاشي!I12+كاشي2!C12+كاشي2!E12+كاشي2!G12</f>
        <v>55421</v>
      </c>
      <c r="J12" s="237" t="s">
        <v>315</v>
      </c>
      <c r="M12" s="244"/>
    </row>
    <row r="13" spans="1:13" s="166" customFormat="1" ht="15" customHeight="1">
      <c r="A13" s="6" t="s">
        <v>4</v>
      </c>
      <c r="B13" s="47">
        <v>165</v>
      </c>
      <c r="C13" s="47">
        <f>B13*14</f>
        <v>2310</v>
      </c>
      <c r="D13" s="47">
        <v>0</v>
      </c>
      <c r="E13" s="47">
        <v>0</v>
      </c>
      <c r="F13" s="47">
        <v>401</v>
      </c>
      <c r="G13" s="47">
        <v>2840</v>
      </c>
      <c r="H13" s="47">
        <f>كاشي!B13+كاشي!D13+كاشي!F13+كاشي!H13+كاشي2!B13+كاشي2!D13+كاشي2!F13</f>
        <v>20011</v>
      </c>
      <c r="I13" s="47">
        <f>كاشي!C13+كاشي!E13+كاشي!G13+كاشي!I13+كاشي2!C13+كاشي2!E13+كاشي2!G13</f>
        <v>302573</v>
      </c>
      <c r="J13" s="6" t="s">
        <v>16</v>
      </c>
      <c r="M13" s="244"/>
    </row>
    <row r="14" spans="1:13" s="166" customFormat="1" ht="15" customHeight="1">
      <c r="A14" s="240" t="s">
        <v>5</v>
      </c>
      <c r="B14" s="272">
        <v>50</v>
      </c>
      <c r="C14" s="234">
        <f>B14*14</f>
        <v>700</v>
      </c>
      <c r="D14" s="234">
        <v>0</v>
      </c>
      <c r="E14" s="234">
        <v>0</v>
      </c>
      <c r="F14" s="274">
        <v>127</v>
      </c>
      <c r="G14" s="234">
        <v>1023</v>
      </c>
      <c r="H14" s="234">
        <f>كاشي!B14+كاشي!D14+كاشي!F14+كاشي!H14+كاشي2!B14+كاشي2!D14+كاشي2!F14</f>
        <v>5400</v>
      </c>
      <c r="I14" s="234">
        <f>كاشي!C14+كاشي!E14+كاشي!G14+كاشي!I14+كاشي2!C14+كاشي2!E14+كاشي2!G14</f>
        <v>80474</v>
      </c>
      <c r="J14" s="241" t="s">
        <v>23</v>
      </c>
      <c r="M14" s="244"/>
    </row>
    <row r="15" spans="1:13" s="166" customFormat="1" ht="15" customHeight="1">
      <c r="A15" s="6" t="s">
        <v>6</v>
      </c>
      <c r="B15" s="47">
        <v>0</v>
      </c>
      <c r="C15" s="47">
        <v>0</v>
      </c>
      <c r="D15" s="47">
        <v>188</v>
      </c>
      <c r="E15" s="47">
        <f>D15*50</f>
        <v>9400</v>
      </c>
      <c r="F15" s="47">
        <v>65</v>
      </c>
      <c r="G15" s="47">
        <v>588</v>
      </c>
      <c r="H15" s="47">
        <f>كاشي!B15+كاشي!D15+كاشي!F15+كاشي!H15+كاشي2!B15+كاشي2!D15+كاشي2!F15</f>
        <v>3378</v>
      </c>
      <c r="I15" s="47">
        <f>كاشي!C15+كاشي!E15+كاشي!G15+كاشي!I15+كاشي2!C15+كاشي2!E15+كاشي2!G15</f>
        <v>59633</v>
      </c>
      <c r="J15" s="6" t="s">
        <v>379</v>
      </c>
      <c r="M15" s="244"/>
    </row>
    <row r="16" spans="1:13" s="166" customFormat="1" ht="15" customHeight="1">
      <c r="A16" s="240" t="s">
        <v>11</v>
      </c>
      <c r="B16" s="272">
        <v>46</v>
      </c>
      <c r="C16" s="234">
        <f>B16*14</f>
        <v>644</v>
      </c>
      <c r="D16" s="234">
        <v>0</v>
      </c>
      <c r="E16" s="234">
        <v>0</v>
      </c>
      <c r="F16" s="274">
        <v>124</v>
      </c>
      <c r="G16" s="234">
        <v>662</v>
      </c>
      <c r="H16" s="234">
        <f>كاشي!B16+كاشي!D16+كاشي!F16+كاشي!H16+كاشي2!B16+كاشي2!D16+كاشي2!F16</f>
        <v>3056</v>
      </c>
      <c r="I16" s="234">
        <f>كاشي!C16+كاشي!E16+كاشي!G16+كاشي!I16+كاشي2!C16+كاشي2!E16+كاشي2!G16</f>
        <v>49398</v>
      </c>
      <c r="J16" s="241" t="s">
        <v>21</v>
      </c>
      <c r="M16" s="244"/>
    </row>
    <row r="17" spans="1:13" s="166" customFormat="1" ht="15" customHeight="1">
      <c r="A17" s="6" t="s">
        <v>2</v>
      </c>
      <c r="B17" s="47">
        <v>27</v>
      </c>
      <c r="C17" s="47">
        <f>B17*14</f>
        <v>378</v>
      </c>
      <c r="D17" s="47">
        <v>0</v>
      </c>
      <c r="E17" s="47">
        <v>0</v>
      </c>
      <c r="F17" s="47">
        <v>33</v>
      </c>
      <c r="G17" s="47">
        <v>193</v>
      </c>
      <c r="H17" s="47">
        <f>كاشي!B17+كاشي!D17+كاشي!F17+كاشي!H17+كاشي2!B17+كاشي2!D17+كاشي2!F17</f>
        <v>991</v>
      </c>
      <c r="I17" s="47">
        <f>كاشي!C17+كاشي!E17+كاشي!G17+كاشي!I17+كاشي2!C17+كاشي2!E17+كاشي2!G17</f>
        <v>14249</v>
      </c>
      <c r="J17" s="6" t="s">
        <v>14</v>
      </c>
      <c r="M17" s="244"/>
    </row>
    <row r="18" spans="1:13" s="166" customFormat="1" ht="15" customHeight="1">
      <c r="A18" s="240" t="s">
        <v>7</v>
      </c>
      <c r="B18" s="272">
        <v>80</v>
      </c>
      <c r="C18" s="234">
        <v>1428</v>
      </c>
      <c r="D18" s="234">
        <v>0</v>
      </c>
      <c r="E18" s="234">
        <v>0</v>
      </c>
      <c r="F18" s="274">
        <v>240</v>
      </c>
      <c r="G18" s="234">
        <v>1526</v>
      </c>
      <c r="H18" s="234">
        <f>كاشي!B18+كاشي!D18+كاشي!F18+كاشي!H18+كاشي2!B18+كاشي2!D18+كاشي2!F18</f>
        <v>7603</v>
      </c>
      <c r="I18" s="234">
        <f>كاشي!C18+كاشي!E18+كاشي!G18+كاشي!I18+كاشي2!C18+كاشي2!E18+كاشي2!G18</f>
        <v>99755</v>
      </c>
      <c r="J18" s="241" t="s">
        <v>17</v>
      </c>
      <c r="M18" s="244"/>
    </row>
    <row r="19" spans="1:13" s="166" customFormat="1" ht="15" customHeight="1">
      <c r="A19" s="6" t="s">
        <v>8</v>
      </c>
      <c r="B19" s="47">
        <v>0</v>
      </c>
      <c r="C19" s="47">
        <v>0</v>
      </c>
      <c r="D19" s="47">
        <v>0</v>
      </c>
      <c r="E19" s="47">
        <v>0</v>
      </c>
      <c r="F19" s="47">
        <v>109</v>
      </c>
      <c r="G19" s="47">
        <v>643</v>
      </c>
      <c r="H19" s="47">
        <f>كاشي!B19+كاشي!D19+كاشي!F19+كاشي!H19+كاشي2!B19+كاشي2!D19+كاشي2!F19</f>
        <v>3298</v>
      </c>
      <c r="I19" s="47">
        <f>كاشي!C19+كاشي!E19+كاشي!G19+كاشي!I19+كاشي2!C19+كاشي2!E19+كاشي2!G19</f>
        <v>48576</v>
      </c>
      <c r="J19" s="6" t="s">
        <v>18</v>
      </c>
      <c r="M19" s="244"/>
    </row>
    <row r="20" spans="1:13" s="166" customFormat="1" ht="15" customHeight="1">
      <c r="A20" s="240" t="s">
        <v>9</v>
      </c>
      <c r="B20" s="272">
        <v>0</v>
      </c>
      <c r="C20" s="234">
        <v>0</v>
      </c>
      <c r="D20" s="234">
        <v>0</v>
      </c>
      <c r="E20" s="234">
        <v>0</v>
      </c>
      <c r="F20" s="274">
        <v>62</v>
      </c>
      <c r="G20" s="234">
        <v>298</v>
      </c>
      <c r="H20" s="234">
        <f>كاشي!B20+كاشي!D20+كاشي!F20+كاشي!H20+كاشي2!B20+كاشي2!D20+كاشي2!F20</f>
        <v>2662</v>
      </c>
      <c r="I20" s="234">
        <f>كاشي!C20+كاشي!E20+كاشي!G20+كاشي!I20+كاشي2!C20+كاشي2!E20+كاشي2!G20</f>
        <v>37320</v>
      </c>
      <c r="J20" s="241" t="s">
        <v>19</v>
      </c>
      <c r="M20" s="244"/>
    </row>
    <row r="21" spans="1:13" s="166" customFormat="1" ht="15" customHeight="1">
      <c r="A21" s="6" t="s">
        <v>10</v>
      </c>
      <c r="B21" s="47">
        <v>192</v>
      </c>
      <c r="C21" s="47">
        <f>B21*14</f>
        <v>2688</v>
      </c>
      <c r="D21" s="47">
        <v>0</v>
      </c>
      <c r="E21" s="47">
        <v>0</v>
      </c>
      <c r="F21" s="47">
        <v>100</v>
      </c>
      <c r="G21" s="47">
        <v>632</v>
      </c>
      <c r="H21" s="47">
        <f>كاشي!B21+كاشي!D21+كاشي!F21+كاشي!H21+كاشي2!B21+كاشي2!D21+كاشي2!F21</f>
        <v>5235</v>
      </c>
      <c r="I21" s="47">
        <f>كاشي!C21+كاشي!E21+كاشي!G21+كاشي!I21+كاشي2!C21+كاشي2!E21+كاشي2!G21</f>
        <v>74577</v>
      </c>
      <c r="J21" s="6" t="s">
        <v>20</v>
      </c>
      <c r="M21" s="244"/>
    </row>
    <row r="22" spans="1:13" s="166" customFormat="1" ht="15" customHeight="1">
      <c r="A22" s="240" t="s">
        <v>12</v>
      </c>
      <c r="B22" s="272">
        <v>0</v>
      </c>
      <c r="C22" s="273">
        <v>0</v>
      </c>
      <c r="D22" s="273">
        <v>0</v>
      </c>
      <c r="E22" s="273">
        <v>0</v>
      </c>
      <c r="F22" s="274">
        <v>23</v>
      </c>
      <c r="G22" s="234">
        <v>126</v>
      </c>
      <c r="H22" s="234">
        <f>كاشي!B22+كاشي!D22+كاشي!F22+كاشي!H22+كاشي2!B22+كاشي2!D22+كاشي2!F22</f>
        <v>704</v>
      </c>
      <c r="I22" s="234">
        <f>كاشي!C22+كاشي!E22+كاشي!G22+كاشي!I22+كاشي2!C22+كاشي2!E22+كاشي2!G22</f>
        <v>9671</v>
      </c>
      <c r="J22" s="241" t="s">
        <v>24</v>
      </c>
      <c r="M22" s="244"/>
    </row>
    <row r="23" spans="1:13" s="239" customFormat="1" ht="15" customHeight="1" thickBot="1">
      <c r="A23" s="440" t="s">
        <v>13</v>
      </c>
      <c r="B23" s="47">
        <v>229</v>
      </c>
      <c r="C23" s="47">
        <v>2581</v>
      </c>
      <c r="D23" s="47">
        <v>0</v>
      </c>
      <c r="E23" s="47">
        <v>0</v>
      </c>
      <c r="F23" s="47">
        <v>170</v>
      </c>
      <c r="G23" s="47">
        <v>1323</v>
      </c>
      <c r="H23" s="47">
        <f>كاشي!B23+كاشي!D23+كاشي!F23+كاشي!H23+كاشي2!B23+كاشي2!D23+كاشي2!F23</f>
        <v>7244</v>
      </c>
      <c r="I23" s="47">
        <f>كاشي!C23+كاشي!E23+كاشي!G23+كاشي!I23+كاشي2!C23+كاشي2!E23+كاشي2!G23</f>
        <v>109991</v>
      </c>
      <c r="J23" s="440" t="s">
        <v>22</v>
      </c>
      <c r="M23" s="243"/>
    </row>
    <row r="24" spans="1:13" s="239" customFormat="1" ht="17.25" customHeight="1" thickBot="1">
      <c r="A24" s="246" t="s">
        <v>0</v>
      </c>
      <c r="B24" s="252">
        <f>SUM(B9:B23)</f>
        <v>789</v>
      </c>
      <c r="C24" s="252">
        <f t="shared" ref="C24:I24" si="0">SUM(C9:C23)</f>
        <v>10729</v>
      </c>
      <c r="D24" s="252">
        <f t="shared" si="0"/>
        <v>189</v>
      </c>
      <c r="E24" s="252">
        <f t="shared" si="0"/>
        <v>9450</v>
      </c>
      <c r="F24" s="252">
        <f t="shared" si="0"/>
        <v>1801</v>
      </c>
      <c r="G24" s="252">
        <f t="shared" si="0"/>
        <v>11816</v>
      </c>
      <c r="H24" s="252">
        <f t="shared" si="0"/>
        <v>73793</v>
      </c>
      <c r="I24" s="252">
        <f t="shared" si="0"/>
        <v>1097886</v>
      </c>
      <c r="J24" s="448" t="s">
        <v>1</v>
      </c>
    </row>
    <row r="25" spans="1:13" ht="13.8">
      <c r="A25" s="605"/>
      <c r="B25" s="605"/>
      <c r="C25" s="605"/>
      <c r="D25" s="605"/>
      <c r="E25" s="605"/>
      <c r="F25" s="605"/>
      <c r="G25" s="605"/>
      <c r="H25" s="593"/>
      <c r="I25" s="587"/>
      <c r="J25" s="587"/>
    </row>
    <row r="26" spans="1:13" ht="15" customHeight="1">
      <c r="A26" s="587"/>
      <c r="B26" s="587"/>
      <c r="C26" s="587"/>
      <c r="D26" s="587"/>
      <c r="E26" s="587"/>
      <c r="F26" s="587"/>
      <c r="G26" s="587"/>
      <c r="H26" s="587"/>
      <c r="I26" s="954"/>
      <c r="J26" s="954"/>
    </row>
    <row r="27" spans="1:13" ht="13.8">
      <c r="A27" s="587"/>
      <c r="B27" s="587"/>
      <c r="C27" s="587"/>
      <c r="D27" s="587"/>
      <c r="E27" s="587" t="s">
        <v>322</v>
      </c>
      <c r="F27" s="587" t="s">
        <v>323</v>
      </c>
      <c r="G27" s="587"/>
      <c r="H27" s="587"/>
      <c r="I27" s="587"/>
      <c r="J27" s="590"/>
    </row>
    <row r="30" spans="1:13">
      <c r="F30" t="s">
        <v>324</v>
      </c>
    </row>
    <row r="31" spans="1:13">
      <c r="E31" t="s">
        <v>321</v>
      </c>
    </row>
    <row r="32" spans="1:13">
      <c r="F32" t="s">
        <v>323</v>
      </c>
    </row>
    <row r="34" spans="6:6">
      <c r="F34" t="s">
        <v>325</v>
      </c>
    </row>
  </sheetData>
  <mergeCells count="6">
    <mergeCell ref="I3:J3"/>
    <mergeCell ref="I26:J26"/>
    <mergeCell ref="A4:B4"/>
    <mergeCell ref="A1:J1"/>
    <mergeCell ref="A2:J2"/>
    <mergeCell ref="C4:D4"/>
  </mergeCells>
  <phoneticPr fontId="3" type="noConversion"/>
  <printOptions horizontalCentered="1" verticalCentered="1"/>
  <pageMargins left="0.23622047244094491" right="0.21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8:J27"/>
  <sheetViews>
    <sheetView rightToLeft="1" view="pageBreakPreview" zoomScale="60" zoomScaleNormal="80" workbookViewId="0">
      <selection activeCell="Q9" sqref="Q9"/>
    </sheetView>
  </sheetViews>
  <sheetFormatPr defaultRowHeight="13.2"/>
  <cols>
    <col min="1" max="1" width="7.5546875" customWidth="1"/>
    <col min="3" max="3" width="7.5546875" customWidth="1"/>
  </cols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honeticPr fontId="3" type="noConversion"/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J27"/>
  <sheetViews>
    <sheetView rightToLeft="1" view="pageBreakPreview" zoomScale="102" zoomScaleNormal="90" zoomScaleSheetLayoutView="102" workbookViewId="0">
      <selection activeCell="C18" sqref="C18"/>
    </sheetView>
  </sheetViews>
  <sheetFormatPr defaultRowHeight="13.2"/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honeticPr fontId="3" type="noConversion"/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</sheetPr>
  <dimension ref="A1:J28"/>
  <sheetViews>
    <sheetView rightToLeft="1" view="pageBreakPreview" zoomScaleNormal="110" zoomScaleSheetLayoutView="100" workbookViewId="0">
      <selection activeCell="A2" sqref="A2:G2"/>
    </sheetView>
  </sheetViews>
  <sheetFormatPr defaultRowHeight="13.2"/>
  <cols>
    <col min="1" max="1" width="17.88671875" customWidth="1"/>
    <col min="2" max="2" width="9.6640625" customWidth="1"/>
    <col min="3" max="3" width="11.44140625" customWidth="1"/>
    <col min="4" max="4" width="13.6640625" customWidth="1"/>
    <col min="5" max="5" width="15.5546875" customWidth="1"/>
    <col min="6" max="6" width="16.44140625" customWidth="1"/>
    <col min="7" max="7" width="19.5546875" customWidth="1"/>
  </cols>
  <sheetData>
    <row r="1" spans="1:7" ht="25.5" customHeight="1">
      <c r="A1" s="893" t="s">
        <v>455</v>
      </c>
      <c r="B1" s="893"/>
      <c r="C1" s="893"/>
      <c r="D1" s="893"/>
      <c r="E1" s="893"/>
      <c r="F1" s="893"/>
      <c r="G1" s="893"/>
    </row>
    <row r="2" spans="1:7" ht="19.5" customHeight="1">
      <c r="A2" s="957" t="s">
        <v>480</v>
      </c>
      <c r="B2" s="957"/>
      <c r="C2" s="957"/>
      <c r="D2" s="957"/>
      <c r="E2" s="957"/>
      <c r="F2" s="957"/>
      <c r="G2" s="957"/>
    </row>
    <row r="3" spans="1:7" s="4" customFormat="1" ht="13.5" customHeight="1">
      <c r="A3" s="135"/>
      <c r="B3" s="135"/>
      <c r="C3" s="135"/>
      <c r="D3" s="135"/>
      <c r="E3" s="135"/>
      <c r="F3" s="940" t="s">
        <v>193</v>
      </c>
      <c r="G3" s="940"/>
    </row>
    <row r="4" spans="1:7" ht="14.4" thickBot="1">
      <c r="A4" s="666" t="s">
        <v>410</v>
      </c>
      <c r="B4" s="958" t="s">
        <v>359</v>
      </c>
      <c r="C4" s="958"/>
      <c r="D4" s="30"/>
      <c r="E4" s="16"/>
      <c r="F4" s="120" t="s">
        <v>138</v>
      </c>
      <c r="G4" s="398" t="s">
        <v>411</v>
      </c>
    </row>
    <row r="5" spans="1:7" ht="24.75" customHeight="1">
      <c r="A5" s="6"/>
      <c r="B5" s="21" t="s">
        <v>214</v>
      </c>
      <c r="C5" s="21"/>
      <c r="D5" s="82" t="s">
        <v>96</v>
      </c>
      <c r="E5" s="21"/>
      <c r="F5" s="399"/>
      <c r="G5" s="6"/>
    </row>
    <row r="6" spans="1:7" s="110" customFormat="1" ht="15" customHeight="1">
      <c r="A6" s="41"/>
      <c r="B6" s="113" t="s">
        <v>232</v>
      </c>
      <c r="C6" s="113"/>
      <c r="D6" s="174" t="s">
        <v>265</v>
      </c>
      <c r="E6" s="113"/>
      <c r="F6" s="401"/>
      <c r="G6" s="41"/>
    </row>
    <row r="7" spans="1:7" s="181" customFormat="1" ht="16.5" customHeight="1">
      <c r="A7" s="179"/>
      <c r="B7" s="173" t="s">
        <v>39</v>
      </c>
      <c r="C7" s="173" t="s">
        <v>216</v>
      </c>
      <c r="D7" s="173" t="s">
        <v>97</v>
      </c>
      <c r="E7" s="173" t="s">
        <v>215</v>
      </c>
      <c r="F7" s="173" t="s">
        <v>215</v>
      </c>
      <c r="G7" s="179"/>
    </row>
    <row r="8" spans="1:7" s="181" customFormat="1" ht="12.75" customHeight="1" thickBot="1">
      <c r="A8" s="449" t="s">
        <v>77</v>
      </c>
      <c r="B8" s="411" t="s">
        <v>40</v>
      </c>
      <c r="C8" s="411" t="s">
        <v>28</v>
      </c>
      <c r="D8" s="412" t="s">
        <v>144</v>
      </c>
      <c r="E8" s="411" t="s">
        <v>28</v>
      </c>
      <c r="F8" s="411" t="s">
        <v>28</v>
      </c>
      <c r="G8" s="413" t="s">
        <v>25</v>
      </c>
    </row>
    <row r="9" spans="1:7" s="239" customFormat="1" ht="15.75" customHeight="1">
      <c r="A9" s="323" t="s">
        <v>328</v>
      </c>
      <c r="B9" s="450">
        <v>1101</v>
      </c>
      <c r="C9" s="450">
        <v>24130</v>
      </c>
      <c r="D9" s="450">
        <v>2494</v>
      </c>
      <c r="E9" s="49">
        <v>2544276</v>
      </c>
      <c r="F9" s="49">
        <f>C9+E9</f>
        <v>2568406</v>
      </c>
      <c r="G9" s="317" t="s">
        <v>378</v>
      </c>
    </row>
    <row r="10" spans="1:7" s="166" customFormat="1" ht="15.75" customHeight="1">
      <c r="A10" s="240" t="s">
        <v>29</v>
      </c>
      <c r="B10" s="233">
        <v>6</v>
      </c>
      <c r="C10" s="233">
        <f>B10*19</f>
        <v>114</v>
      </c>
      <c r="D10" s="233">
        <v>1732</v>
      </c>
      <c r="E10" s="233">
        <v>1742195</v>
      </c>
      <c r="F10" s="233">
        <f t="shared" ref="F10:F23" si="0">C10+E10</f>
        <v>1742309</v>
      </c>
      <c r="G10" s="241" t="s">
        <v>30</v>
      </c>
    </row>
    <row r="11" spans="1:7" s="166" customFormat="1" ht="15" customHeight="1">
      <c r="A11" s="323" t="s">
        <v>3</v>
      </c>
      <c r="B11" s="49">
        <v>1</v>
      </c>
      <c r="C11" s="49">
        <f>B11*19</f>
        <v>19</v>
      </c>
      <c r="D11" s="49">
        <v>4331</v>
      </c>
      <c r="E11" s="49">
        <v>4375606</v>
      </c>
      <c r="F11" s="49">
        <f t="shared" si="0"/>
        <v>4375625</v>
      </c>
      <c r="G11" s="317" t="s">
        <v>15</v>
      </c>
    </row>
    <row r="12" spans="1:7" s="166" customFormat="1" ht="14.25" customHeight="1">
      <c r="A12" s="240" t="s">
        <v>319</v>
      </c>
      <c r="B12" s="233">
        <v>42</v>
      </c>
      <c r="C12" s="233">
        <v>923</v>
      </c>
      <c r="D12" s="233">
        <v>4532</v>
      </c>
      <c r="E12" s="233">
        <v>4696471</v>
      </c>
      <c r="F12" s="233">
        <f t="shared" si="0"/>
        <v>4697394</v>
      </c>
      <c r="G12" s="241" t="s">
        <v>315</v>
      </c>
    </row>
    <row r="13" spans="1:7" s="166" customFormat="1" ht="15" customHeight="1">
      <c r="A13" s="323" t="s">
        <v>4</v>
      </c>
      <c r="B13" s="49">
        <v>1598</v>
      </c>
      <c r="C13" s="49">
        <v>31964</v>
      </c>
      <c r="D13" s="49">
        <v>17577</v>
      </c>
      <c r="E13" s="49">
        <v>18330883</v>
      </c>
      <c r="F13" s="49">
        <f t="shared" si="0"/>
        <v>18362847</v>
      </c>
      <c r="G13" s="317" t="s">
        <v>16</v>
      </c>
    </row>
    <row r="14" spans="1:7" s="166" customFormat="1" ht="12.9" customHeight="1">
      <c r="A14" s="240" t="s">
        <v>5</v>
      </c>
      <c r="B14" s="233">
        <v>487</v>
      </c>
      <c r="C14" s="233">
        <f>B14*19</f>
        <v>9253</v>
      </c>
      <c r="D14" s="233">
        <v>3921</v>
      </c>
      <c r="E14" s="233">
        <v>3989894</v>
      </c>
      <c r="F14" s="233">
        <f t="shared" si="0"/>
        <v>3999147</v>
      </c>
      <c r="G14" s="241" t="s">
        <v>23</v>
      </c>
    </row>
    <row r="15" spans="1:7" s="166" customFormat="1" ht="12.9" customHeight="1">
      <c r="A15" s="323" t="s">
        <v>6</v>
      </c>
      <c r="B15" s="49">
        <v>1314</v>
      </c>
      <c r="C15" s="49">
        <v>22812</v>
      </c>
      <c r="D15" s="49">
        <v>2866</v>
      </c>
      <c r="E15" s="49">
        <v>2892674</v>
      </c>
      <c r="F15" s="49">
        <f t="shared" si="0"/>
        <v>2915486</v>
      </c>
      <c r="G15" s="317" t="s">
        <v>379</v>
      </c>
    </row>
    <row r="16" spans="1:7" s="166" customFormat="1" ht="12.9" customHeight="1">
      <c r="A16" s="240" t="s">
        <v>11</v>
      </c>
      <c r="B16" s="233">
        <v>839</v>
      </c>
      <c r="C16" s="233">
        <v>16793</v>
      </c>
      <c r="D16" s="233">
        <v>2282</v>
      </c>
      <c r="E16" s="233">
        <v>2377022</v>
      </c>
      <c r="F16" s="233">
        <f t="shared" si="0"/>
        <v>2393815</v>
      </c>
      <c r="G16" s="241" t="s">
        <v>21</v>
      </c>
    </row>
    <row r="17" spans="1:10" s="166" customFormat="1" ht="14.25" customHeight="1">
      <c r="A17" s="323" t="s">
        <v>2</v>
      </c>
      <c r="B17" s="49">
        <v>73</v>
      </c>
      <c r="C17" s="49">
        <v>1768</v>
      </c>
      <c r="D17" s="49">
        <v>1291</v>
      </c>
      <c r="E17" s="49">
        <v>1420283</v>
      </c>
      <c r="F17" s="49">
        <f t="shared" si="0"/>
        <v>1422051</v>
      </c>
      <c r="G17" s="317" t="s">
        <v>14</v>
      </c>
    </row>
    <row r="18" spans="1:10" s="166" customFormat="1" ht="15.75" customHeight="1">
      <c r="A18" s="240" t="s">
        <v>7</v>
      </c>
      <c r="B18" s="233">
        <v>45</v>
      </c>
      <c r="C18" s="233">
        <v>876</v>
      </c>
      <c r="D18" s="233">
        <v>6838</v>
      </c>
      <c r="E18" s="233">
        <v>6867184</v>
      </c>
      <c r="F18" s="233">
        <f t="shared" si="0"/>
        <v>6868060</v>
      </c>
      <c r="G18" s="241" t="s">
        <v>17</v>
      </c>
    </row>
    <row r="19" spans="1:10" s="166" customFormat="1" ht="12.9" customHeight="1">
      <c r="A19" s="323" t="s">
        <v>8</v>
      </c>
      <c r="B19" s="49">
        <v>2224</v>
      </c>
      <c r="C19" s="49">
        <f>B19*19</f>
        <v>42256</v>
      </c>
      <c r="D19" s="49">
        <v>4356</v>
      </c>
      <c r="E19" s="49">
        <v>4356474</v>
      </c>
      <c r="F19" s="49">
        <f t="shared" si="0"/>
        <v>4398730</v>
      </c>
      <c r="G19" s="317" t="s">
        <v>18</v>
      </c>
    </row>
    <row r="20" spans="1:10" s="166" customFormat="1" ht="15" customHeight="1">
      <c r="A20" s="240" t="s">
        <v>9</v>
      </c>
      <c r="B20" s="233">
        <v>682</v>
      </c>
      <c r="C20" s="233">
        <f t="shared" ref="C20:C21" si="1">B20*19</f>
        <v>12958</v>
      </c>
      <c r="D20" s="233">
        <v>2648</v>
      </c>
      <c r="E20" s="233">
        <v>2648075</v>
      </c>
      <c r="F20" s="233">
        <f t="shared" si="0"/>
        <v>2661033</v>
      </c>
      <c r="G20" s="241" t="s">
        <v>19</v>
      </c>
    </row>
    <row r="21" spans="1:10" s="166" customFormat="1" ht="15.75" customHeight="1">
      <c r="A21" s="323" t="s">
        <v>10</v>
      </c>
      <c r="B21" s="49">
        <v>759</v>
      </c>
      <c r="C21" s="49">
        <f t="shared" si="1"/>
        <v>14421</v>
      </c>
      <c r="D21" s="49">
        <v>1961</v>
      </c>
      <c r="E21" s="47">
        <v>1960735</v>
      </c>
      <c r="F21" s="49">
        <f t="shared" si="0"/>
        <v>1975156</v>
      </c>
      <c r="G21" s="317" t="s">
        <v>20</v>
      </c>
    </row>
    <row r="22" spans="1:10" s="166" customFormat="1" ht="15" customHeight="1">
      <c r="A22" s="240" t="s">
        <v>12</v>
      </c>
      <c r="B22" s="233">
        <v>8</v>
      </c>
      <c r="C22" s="233">
        <v>98</v>
      </c>
      <c r="D22" s="233">
        <v>1148</v>
      </c>
      <c r="E22" s="234">
        <v>1185581</v>
      </c>
      <c r="F22" s="233">
        <f t="shared" si="0"/>
        <v>1185679</v>
      </c>
      <c r="G22" s="241" t="s">
        <v>24</v>
      </c>
    </row>
    <row r="23" spans="1:10" s="166" customFormat="1" ht="18" customHeight="1" thickBot="1">
      <c r="A23" s="323" t="s">
        <v>13</v>
      </c>
      <c r="B23" s="47">
        <v>104</v>
      </c>
      <c r="C23" s="47">
        <v>1552</v>
      </c>
      <c r="D23" s="47">
        <v>8320</v>
      </c>
      <c r="E23" s="47">
        <v>8319949</v>
      </c>
      <c r="F23" s="49">
        <f t="shared" si="0"/>
        <v>8321501</v>
      </c>
      <c r="G23" s="317" t="s">
        <v>22</v>
      </c>
    </row>
    <row r="24" spans="1:10" s="239" customFormat="1" ht="17.25" customHeight="1" thickBot="1">
      <c r="A24" s="396" t="s">
        <v>0</v>
      </c>
      <c r="B24" s="252">
        <f>SUM(B9:B23)</f>
        <v>9283</v>
      </c>
      <c r="C24" s="252">
        <f t="shared" ref="C24:D24" si="2">SUM(C9:C23)</f>
        <v>179937</v>
      </c>
      <c r="D24" s="252">
        <f t="shared" si="2"/>
        <v>66297</v>
      </c>
      <c r="E24" s="252">
        <f>SUM(E9:E23)</f>
        <v>67707302</v>
      </c>
      <c r="F24" s="252">
        <f>SUM(F9:F23)</f>
        <v>67887239</v>
      </c>
      <c r="G24" s="397" t="s">
        <v>1</v>
      </c>
    </row>
    <row r="25" spans="1:10" s="4" customFormat="1" ht="17.25" customHeight="1">
      <c r="A25" s="932"/>
      <c r="B25" s="932"/>
      <c r="C25" s="932"/>
      <c r="D25" s="932"/>
      <c r="E25" s="932"/>
      <c r="F25" s="932"/>
      <c r="G25" s="932"/>
      <c r="H25" s="932"/>
      <c r="I25" s="587"/>
      <c r="J25" s="587"/>
    </row>
    <row r="26" spans="1:10" ht="13.8">
      <c r="A26" s="587"/>
      <c r="B26" s="587"/>
      <c r="C26" s="587"/>
      <c r="D26" s="587"/>
      <c r="E26" s="587"/>
      <c r="F26" s="587"/>
      <c r="G26" s="590"/>
      <c r="H26" s="593"/>
      <c r="I26" s="593"/>
      <c r="J26" s="587"/>
    </row>
    <row r="27" spans="1:10" ht="13.8">
      <c r="A27" s="953"/>
      <c r="B27" s="953"/>
      <c r="C27" s="587"/>
      <c r="D27" s="587"/>
      <c r="E27" s="587"/>
      <c r="F27" s="954"/>
      <c r="G27" s="954"/>
      <c r="H27" s="593"/>
      <c r="I27" s="587"/>
      <c r="J27" s="587"/>
    </row>
    <row r="28" spans="1:10">
      <c r="F28" t="s">
        <v>357</v>
      </c>
    </row>
  </sheetData>
  <mergeCells count="7">
    <mergeCell ref="F3:G3"/>
    <mergeCell ref="A27:B27"/>
    <mergeCell ref="F27:G27"/>
    <mergeCell ref="A1:G1"/>
    <mergeCell ref="A2:G2"/>
    <mergeCell ref="A25:H25"/>
    <mergeCell ref="B4:C4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M28"/>
  <sheetViews>
    <sheetView rightToLeft="1" view="pageBreakPreview" zoomScale="87" zoomScaleNormal="100" zoomScaleSheetLayoutView="87" workbookViewId="0">
      <selection activeCell="A2" sqref="A2:L2"/>
    </sheetView>
  </sheetViews>
  <sheetFormatPr defaultRowHeight="13.2"/>
  <cols>
    <col min="1" max="1" width="9.109375" customWidth="1"/>
    <col min="2" max="2" width="10.109375" bestFit="1" customWidth="1"/>
    <col min="3" max="3" width="12.44140625" bestFit="1" customWidth="1"/>
    <col min="4" max="4" width="10.109375" bestFit="1" customWidth="1"/>
    <col min="5" max="5" width="12.44140625" bestFit="1" customWidth="1"/>
    <col min="6" max="6" width="10.109375" bestFit="1" customWidth="1"/>
    <col min="7" max="7" width="12.109375" bestFit="1" customWidth="1"/>
    <col min="8" max="8" width="10.109375" bestFit="1" customWidth="1"/>
    <col min="9" max="9" width="12.44140625" bestFit="1" customWidth="1"/>
    <col min="10" max="10" width="12.88671875" style="4" bestFit="1" customWidth="1"/>
    <col min="11" max="11" width="13.5546875" bestFit="1" customWidth="1"/>
    <col min="12" max="12" width="14.44140625" customWidth="1"/>
  </cols>
  <sheetData>
    <row r="1" spans="1:13" ht="13.8">
      <c r="A1" s="960" t="s">
        <v>455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</row>
    <row r="2" spans="1:13" ht="15.75" customHeight="1">
      <c r="A2" s="962" t="s">
        <v>477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</row>
    <row r="3" spans="1:13" s="4" customFormat="1" ht="15.75" customHeight="1">
      <c r="A3" s="138"/>
      <c r="B3" s="138"/>
      <c r="C3" s="138"/>
      <c r="D3" s="138"/>
      <c r="E3" s="138"/>
      <c r="F3" s="138"/>
      <c r="G3" s="138"/>
      <c r="H3" s="138"/>
      <c r="I3" s="138"/>
      <c r="J3" s="160"/>
      <c r="K3" s="940" t="s">
        <v>193</v>
      </c>
      <c r="L3" s="940"/>
    </row>
    <row r="4" spans="1:13" ht="15.75" customHeight="1" thickBot="1">
      <c r="A4" s="905" t="s">
        <v>405</v>
      </c>
      <c r="B4" s="905"/>
      <c r="C4" s="84" t="s">
        <v>168</v>
      </c>
      <c r="D4" s="85"/>
      <c r="E4" s="11"/>
      <c r="F4" s="86"/>
      <c r="G4" s="86"/>
      <c r="H4" s="85"/>
      <c r="I4" s="84"/>
      <c r="J4" s="84"/>
      <c r="K4" s="961" t="s">
        <v>418</v>
      </c>
      <c r="L4" s="961" t="s">
        <v>50</v>
      </c>
      <c r="M4" s="2"/>
    </row>
    <row r="5" spans="1:13" ht="19.5" customHeight="1">
      <c r="A5" s="6"/>
      <c r="B5" s="964" t="s">
        <v>143</v>
      </c>
      <c r="C5" s="964"/>
      <c r="D5" s="964" t="s">
        <v>142</v>
      </c>
      <c r="E5" s="964"/>
      <c r="F5" s="964" t="s">
        <v>36</v>
      </c>
      <c r="G5" s="964"/>
      <c r="H5" s="964" t="s">
        <v>37</v>
      </c>
      <c r="I5" s="964"/>
      <c r="J5" s="161"/>
      <c r="K5" s="88" t="s">
        <v>0</v>
      </c>
      <c r="L5" s="88"/>
    </row>
    <row r="6" spans="1:13" ht="15" customHeight="1">
      <c r="A6" s="11"/>
      <c r="B6" s="885" t="s">
        <v>152</v>
      </c>
      <c r="C6" s="885"/>
      <c r="D6" s="963" t="s">
        <v>280</v>
      </c>
      <c r="E6" s="963"/>
      <c r="F6" s="963" t="s">
        <v>153</v>
      </c>
      <c r="G6" s="963"/>
      <c r="H6" s="885" t="s">
        <v>150</v>
      </c>
      <c r="I6" s="885"/>
      <c r="J6" s="159"/>
      <c r="K6" s="149" t="s">
        <v>1</v>
      </c>
      <c r="L6" s="87"/>
    </row>
    <row r="7" spans="1:13" s="110" customFormat="1" ht="26.25" customHeight="1">
      <c r="A7" s="198"/>
      <c r="B7" s="197" t="s">
        <v>212</v>
      </c>
      <c r="C7" s="197" t="s">
        <v>215</v>
      </c>
      <c r="D7" s="197" t="s">
        <v>212</v>
      </c>
      <c r="E7" s="197" t="s">
        <v>215</v>
      </c>
      <c r="F7" s="197" t="s">
        <v>212</v>
      </c>
      <c r="G7" s="197" t="s">
        <v>215</v>
      </c>
      <c r="H7" s="197" t="s">
        <v>212</v>
      </c>
      <c r="I7" s="197" t="s">
        <v>215</v>
      </c>
      <c r="J7" s="197" t="s">
        <v>212</v>
      </c>
      <c r="K7" s="197" t="s">
        <v>215</v>
      </c>
      <c r="L7" s="198"/>
    </row>
    <row r="8" spans="1:13" s="181" customFormat="1" ht="15" customHeight="1" thickBot="1">
      <c r="A8" s="451" t="s">
        <v>51</v>
      </c>
      <c r="B8" s="452" t="s">
        <v>119</v>
      </c>
      <c r="C8" s="451" t="s">
        <v>28</v>
      </c>
      <c r="D8" s="452" t="s">
        <v>119</v>
      </c>
      <c r="E8" s="453" t="s">
        <v>28</v>
      </c>
      <c r="F8" s="452" t="s">
        <v>119</v>
      </c>
      <c r="G8" s="451" t="s">
        <v>28</v>
      </c>
      <c r="H8" s="452" t="s">
        <v>119</v>
      </c>
      <c r="I8" s="451" t="s">
        <v>28</v>
      </c>
      <c r="J8" s="451"/>
      <c r="K8" s="451" t="s">
        <v>28</v>
      </c>
      <c r="L8" s="451" t="s">
        <v>25</v>
      </c>
    </row>
    <row r="9" spans="1:13" s="239" customFormat="1" ht="15" customHeight="1" thickTop="1">
      <c r="A9" s="324" t="s">
        <v>328</v>
      </c>
      <c r="B9" s="47">
        <v>5192</v>
      </c>
      <c r="C9" s="47">
        <v>636426</v>
      </c>
      <c r="D9" s="47">
        <v>3641</v>
      </c>
      <c r="E9" s="47">
        <v>560663</v>
      </c>
      <c r="F9" s="47">
        <v>4658</v>
      </c>
      <c r="G9" s="47">
        <v>508803</v>
      </c>
      <c r="H9" s="47">
        <v>227</v>
      </c>
      <c r="I9" s="47">
        <v>31910</v>
      </c>
      <c r="J9" s="47">
        <f>B9+D9+F9+H9</f>
        <v>13718</v>
      </c>
      <c r="K9" s="47">
        <f>C9+E9+G9+I9</f>
        <v>1737802</v>
      </c>
      <c r="L9" s="325" t="s">
        <v>378</v>
      </c>
    </row>
    <row r="10" spans="1:13" s="166" customFormat="1" ht="15" customHeight="1">
      <c r="A10" s="234" t="s">
        <v>29</v>
      </c>
      <c r="B10" s="234">
        <v>4419</v>
      </c>
      <c r="C10" s="234">
        <v>495795</v>
      </c>
      <c r="D10" s="234">
        <v>3779</v>
      </c>
      <c r="E10" s="234">
        <v>586774</v>
      </c>
      <c r="F10" s="234">
        <v>3987</v>
      </c>
      <c r="G10" s="234">
        <v>433962</v>
      </c>
      <c r="H10" s="234">
        <v>1502</v>
      </c>
      <c r="I10" s="234">
        <v>180384</v>
      </c>
      <c r="J10" s="234">
        <f t="shared" ref="J10:J23" si="0">B10+D10+F10+H10</f>
        <v>13687</v>
      </c>
      <c r="K10" s="234">
        <f t="shared" ref="K10:K23" si="1">C10+E10+G10+I10</f>
        <v>1696915</v>
      </c>
      <c r="L10" s="416" t="s">
        <v>30</v>
      </c>
    </row>
    <row r="11" spans="1:13" s="166" customFormat="1" ht="15" customHeight="1">
      <c r="A11" s="324" t="s">
        <v>3</v>
      </c>
      <c r="B11" s="47">
        <v>9721</v>
      </c>
      <c r="C11" s="47">
        <v>909568</v>
      </c>
      <c r="D11" s="47">
        <v>6146</v>
      </c>
      <c r="E11" s="47">
        <v>815130</v>
      </c>
      <c r="F11" s="47">
        <v>8163</v>
      </c>
      <c r="G11" s="47">
        <v>737184</v>
      </c>
      <c r="H11" s="47">
        <v>0</v>
      </c>
      <c r="I11" s="47">
        <v>0</v>
      </c>
      <c r="J11" s="47">
        <f t="shared" si="0"/>
        <v>24030</v>
      </c>
      <c r="K11" s="47">
        <f t="shared" si="1"/>
        <v>2461882</v>
      </c>
      <c r="L11" s="325" t="s">
        <v>15</v>
      </c>
    </row>
    <row r="12" spans="1:13" s="166" customFormat="1" ht="15" customHeight="1">
      <c r="A12" s="234" t="s">
        <v>319</v>
      </c>
      <c r="B12" s="234">
        <v>6462</v>
      </c>
      <c r="C12" s="234">
        <v>599899</v>
      </c>
      <c r="D12" s="234">
        <v>7174</v>
      </c>
      <c r="E12" s="234">
        <v>801498</v>
      </c>
      <c r="F12" s="234">
        <v>7396</v>
      </c>
      <c r="G12" s="234">
        <v>665579</v>
      </c>
      <c r="H12" s="234">
        <v>1006</v>
      </c>
      <c r="I12" s="234">
        <f>H12*107</f>
        <v>107642</v>
      </c>
      <c r="J12" s="234">
        <f t="shared" si="0"/>
        <v>22038</v>
      </c>
      <c r="K12" s="234">
        <f t="shared" si="1"/>
        <v>2174618</v>
      </c>
      <c r="L12" s="416" t="s">
        <v>315</v>
      </c>
    </row>
    <row r="13" spans="1:13" s="166" customFormat="1" ht="15" customHeight="1">
      <c r="A13" s="324" t="s">
        <v>4</v>
      </c>
      <c r="B13" s="47">
        <v>25084</v>
      </c>
      <c r="C13" s="47">
        <v>2964142</v>
      </c>
      <c r="D13" s="47">
        <v>21243</v>
      </c>
      <c r="E13" s="47">
        <v>3015162</v>
      </c>
      <c r="F13" s="47">
        <v>25253</v>
      </c>
      <c r="G13" s="47">
        <v>2180058</v>
      </c>
      <c r="H13" s="47">
        <v>18013</v>
      </c>
      <c r="I13" s="47">
        <f>H13*107</f>
        <v>1927391</v>
      </c>
      <c r="J13" s="47">
        <f t="shared" si="0"/>
        <v>89593</v>
      </c>
      <c r="K13" s="47">
        <f t="shared" si="1"/>
        <v>10086753</v>
      </c>
      <c r="L13" s="325" t="s">
        <v>16</v>
      </c>
    </row>
    <row r="14" spans="1:13" s="166" customFormat="1" ht="15" customHeight="1">
      <c r="A14" s="234" t="s">
        <v>5</v>
      </c>
      <c r="B14" s="234">
        <v>6797</v>
      </c>
      <c r="C14" s="234">
        <v>839978</v>
      </c>
      <c r="D14" s="234">
        <v>5650</v>
      </c>
      <c r="E14" s="234">
        <v>966800</v>
      </c>
      <c r="F14" s="234">
        <v>6833</v>
      </c>
      <c r="G14" s="234">
        <v>708117</v>
      </c>
      <c r="H14" s="234">
        <v>3573</v>
      </c>
      <c r="I14" s="234">
        <v>488684</v>
      </c>
      <c r="J14" s="234">
        <f t="shared" si="0"/>
        <v>22853</v>
      </c>
      <c r="K14" s="234">
        <f t="shared" si="1"/>
        <v>3003579</v>
      </c>
      <c r="L14" s="416" t="s">
        <v>23</v>
      </c>
    </row>
    <row r="15" spans="1:13" s="166" customFormat="1" ht="15" customHeight="1">
      <c r="A15" s="324" t="s">
        <v>6</v>
      </c>
      <c r="B15" s="47">
        <v>5505</v>
      </c>
      <c r="C15" s="47">
        <v>474931</v>
      </c>
      <c r="D15" s="47">
        <v>7632</v>
      </c>
      <c r="E15" s="47">
        <v>1168612</v>
      </c>
      <c r="F15" s="47">
        <v>7258</v>
      </c>
      <c r="G15" s="47">
        <v>527840</v>
      </c>
      <c r="H15" s="47">
        <v>311</v>
      </c>
      <c r="I15" s="47">
        <v>34688</v>
      </c>
      <c r="J15" s="47">
        <f t="shared" si="0"/>
        <v>20706</v>
      </c>
      <c r="K15" s="47">
        <f t="shared" si="1"/>
        <v>2206071</v>
      </c>
      <c r="L15" s="325" t="s">
        <v>379</v>
      </c>
    </row>
    <row r="16" spans="1:13" s="166" customFormat="1" ht="15" customHeight="1">
      <c r="A16" s="234" t="s">
        <v>11</v>
      </c>
      <c r="B16" s="234">
        <v>3667</v>
      </c>
      <c r="C16" s="234">
        <v>375142</v>
      </c>
      <c r="D16" s="234">
        <v>2638</v>
      </c>
      <c r="E16" s="234">
        <v>221981</v>
      </c>
      <c r="F16" s="234">
        <v>7053</v>
      </c>
      <c r="G16" s="234">
        <v>523684</v>
      </c>
      <c r="H16" s="234">
        <v>0</v>
      </c>
      <c r="I16" s="234">
        <v>0</v>
      </c>
      <c r="J16" s="234">
        <f t="shared" si="0"/>
        <v>13358</v>
      </c>
      <c r="K16" s="234">
        <f t="shared" si="1"/>
        <v>1120807</v>
      </c>
      <c r="L16" s="416" t="s">
        <v>21</v>
      </c>
    </row>
    <row r="17" spans="1:13" s="166" customFormat="1" ht="16.5" customHeight="1">
      <c r="A17" s="324" t="s">
        <v>2</v>
      </c>
      <c r="B17" s="47">
        <v>2336</v>
      </c>
      <c r="C17" s="47">
        <v>231778</v>
      </c>
      <c r="D17" s="47">
        <v>2228</v>
      </c>
      <c r="E17" s="47">
        <v>380117</v>
      </c>
      <c r="F17" s="47">
        <v>3523</v>
      </c>
      <c r="G17" s="47">
        <v>268760</v>
      </c>
      <c r="H17" s="47">
        <v>42</v>
      </c>
      <c r="I17" s="47">
        <v>3790</v>
      </c>
      <c r="J17" s="47">
        <f t="shared" si="0"/>
        <v>8129</v>
      </c>
      <c r="K17" s="47">
        <f t="shared" si="1"/>
        <v>884445</v>
      </c>
      <c r="L17" s="325" t="s">
        <v>14</v>
      </c>
    </row>
    <row r="18" spans="1:13" s="166" customFormat="1" ht="15" customHeight="1">
      <c r="A18" s="234" t="s">
        <v>7</v>
      </c>
      <c r="B18" s="234">
        <v>18119</v>
      </c>
      <c r="C18" s="574">
        <v>1676271</v>
      </c>
      <c r="D18" s="234">
        <v>17953</v>
      </c>
      <c r="E18" s="234">
        <v>2291501</v>
      </c>
      <c r="F18" s="234">
        <v>11038</v>
      </c>
      <c r="G18" s="234">
        <v>1049893</v>
      </c>
      <c r="H18" s="234">
        <v>0</v>
      </c>
      <c r="I18" s="234">
        <v>0</v>
      </c>
      <c r="J18" s="234">
        <f t="shared" si="0"/>
        <v>47110</v>
      </c>
      <c r="K18" s="234">
        <f t="shared" si="1"/>
        <v>5017665</v>
      </c>
      <c r="L18" s="416" t="s">
        <v>17</v>
      </c>
    </row>
    <row r="19" spans="1:13" s="166" customFormat="1" ht="15" customHeight="1">
      <c r="A19" s="324" t="s">
        <v>8</v>
      </c>
      <c r="B19" s="47">
        <v>5491</v>
      </c>
      <c r="C19" s="47">
        <v>486972</v>
      </c>
      <c r="D19" s="47">
        <v>3361</v>
      </c>
      <c r="E19" s="47">
        <v>375477</v>
      </c>
      <c r="F19" s="47">
        <v>6071</v>
      </c>
      <c r="G19" s="47">
        <v>491578</v>
      </c>
      <c r="H19" s="47">
        <v>0</v>
      </c>
      <c r="I19" s="47">
        <v>0</v>
      </c>
      <c r="J19" s="47">
        <f t="shared" si="0"/>
        <v>14923</v>
      </c>
      <c r="K19" s="47">
        <f t="shared" si="1"/>
        <v>1354027</v>
      </c>
      <c r="L19" s="325" t="s">
        <v>18</v>
      </c>
    </row>
    <row r="20" spans="1:13" s="166" customFormat="1" ht="15" customHeight="1">
      <c r="A20" s="234" t="s">
        <v>9</v>
      </c>
      <c r="B20" s="234">
        <v>5438</v>
      </c>
      <c r="C20" s="234">
        <v>443928</v>
      </c>
      <c r="D20" s="234">
        <v>3425</v>
      </c>
      <c r="E20" s="234">
        <v>481238</v>
      </c>
      <c r="F20" s="234">
        <v>4590</v>
      </c>
      <c r="G20" s="234">
        <v>355419</v>
      </c>
      <c r="H20" s="234">
        <v>0</v>
      </c>
      <c r="I20" s="234">
        <v>0</v>
      </c>
      <c r="J20" s="234">
        <f t="shared" si="0"/>
        <v>13453</v>
      </c>
      <c r="K20" s="234">
        <f t="shared" si="1"/>
        <v>1280585</v>
      </c>
      <c r="L20" s="416" t="s">
        <v>19</v>
      </c>
    </row>
    <row r="21" spans="1:13" s="166" customFormat="1" ht="15" customHeight="1">
      <c r="A21" s="324" t="s">
        <v>10</v>
      </c>
      <c r="B21" s="47">
        <v>3885</v>
      </c>
      <c r="C21" s="47">
        <v>363291</v>
      </c>
      <c r="D21" s="47">
        <v>1040</v>
      </c>
      <c r="E21" s="47">
        <v>76915</v>
      </c>
      <c r="F21" s="47">
        <v>3394</v>
      </c>
      <c r="G21" s="47">
        <v>269656</v>
      </c>
      <c r="H21" s="47">
        <v>377</v>
      </c>
      <c r="I21" s="47">
        <v>42475</v>
      </c>
      <c r="J21" s="47">
        <f t="shared" si="0"/>
        <v>8696</v>
      </c>
      <c r="K21" s="47">
        <f t="shared" si="1"/>
        <v>752337</v>
      </c>
      <c r="L21" s="325" t="s">
        <v>20</v>
      </c>
      <c r="M21" s="245"/>
    </row>
    <row r="22" spans="1:13" s="166" customFormat="1" ht="15" customHeight="1">
      <c r="A22" s="234" t="s">
        <v>12</v>
      </c>
      <c r="B22" s="234">
        <v>1643</v>
      </c>
      <c r="C22" s="234">
        <v>160399</v>
      </c>
      <c r="D22" s="234">
        <v>2289</v>
      </c>
      <c r="E22" s="234">
        <v>270969</v>
      </c>
      <c r="F22" s="234">
        <v>1974</v>
      </c>
      <c r="G22" s="234">
        <v>160087</v>
      </c>
      <c r="H22" s="234">
        <v>128</v>
      </c>
      <c r="I22" s="234">
        <v>10523</v>
      </c>
      <c r="J22" s="234">
        <f t="shared" si="0"/>
        <v>6034</v>
      </c>
      <c r="K22" s="234">
        <f t="shared" si="1"/>
        <v>601978</v>
      </c>
      <c r="L22" s="416" t="s">
        <v>24</v>
      </c>
      <c r="M22" s="245"/>
    </row>
    <row r="23" spans="1:13" s="166" customFormat="1" ht="15" customHeight="1" thickBot="1">
      <c r="A23" s="324" t="s">
        <v>13</v>
      </c>
      <c r="B23" s="47">
        <v>7793</v>
      </c>
      <c r="C23" s="47">
        <v>979796</v>
      </c>
      <c r="D23" s="47">
        <v>5586</v>
      </c>
      <c r="E23" s="47">
        <v>948846</v>
      </c>
      <c r="F23" s="47">
        <v>8992</v>
      </c>
      <c r="G23" s="47">
        <v>1000505</v>
      </c>
      <c r="H23" s="47">
        <v>2422</v>
      </c>
      <c r="I23" s="47">
        <v>317256</v>
      </c>
      <c r="J23" s="47">
        <f t="shared" si="0"/>
        <v>24793</v>
      </c>
      <c r="K23" s="47">
        <f t="shared" si="1"/>
        <v>3246403</v>
      </c>
      <c r="L23" s="325" t="s">
        <v>22</v>
      </c>
      <c r="M23" s="245"/>
    </row>
    <row r="24" spans="1:13" s="239" customFormat="1" ht="20.25" customHeight="1" thickBot="1">
      <c r="A24" s="275" t="s">
        <v>0</v>
      </c>
      <c r="B24" s="276">
        <f>SUM(B9:B23)</f>
        <v>111552</v>
      </c>
      <c r="C24" s="276">
        <f t="shared" ref="C24:K24" si="2">SUM(C9:C23)</f>
        <v>11638316</v>
      </c>
      <c r="D24" s="276">
        <f t="shared" si="2"/>
        <v>93785</v>
      </c>
      <c r="E24" s="276">
        <f t="shared" si="2"/>
        <v>12961683</v>
      </c>
      <c r="F24" s="276">
        <f t="shared" si="2"/>
        <v>110183</v>
      </c>
      <c r="G24" s="276">
        <f t="shared" si="2"/>
        <v>9881125</v>
      </c>
      <c r="H24" s="276">
        <f t="shared" si="2"/>
        <v>27601</v>
      </c>
      <c r="I24" s="276">
        <f t="shared" si="2"/>
        <v>3144743</v>
      </c>
      <c r="J24" s="276">
        <f t="shared" si="2"/>
        <v>343121</v>
      </c>
      <c r="K24" s="276">
        <f t="shared" si="2"/>
        <v>37625867</v>
      </c>
      <c r="L24" s="277" t="s">
        <v>1</v>
      </c>
    </row>
    <row r="25" spans="1:13" s="4" customFormat="1" ht="17.25" customHeight="1">
      <c r="A25" s="603"/>
      <c r="B25" s="603"/>
      <c r="C25" s="603"/>
      <c r="D25" s="603"/>
      <c r="E25" s="603"/>
      <c r="F25" s="603"/>
      <c r="G25" s="603"/>
      <c r="H25" s="603"/>
      <c r="I25" s="604"/>
      <c r="J25" s="604"/>
      <c r="K25" s="128"/>
      <c r="L25" s="129"/>
    </row>
    <row r="26" spans="1:13" ht="13.8">
      <c r="A26" s="587"/>
      <c r="B26" s="587"/>
      <c r="C26" s="587"/>
      <c r="D26" s="587"/>
      <c r="E26" s="587"/>
      <c r="F26" s="587"/>
      <c r="G26" s="587"/>
      <c r="H26" s="601"/>
      <c r="I26" s="601"/>
      <c r="J26" s="601"/>
      <c r="K26" s="1"/>
      <c r="L26" s="127"/>
    </row>
    <row r="27" spans="1:13" ht="13.8">
      <c r="A27" s="953"/>
      <c r="B27" s="953"/>
      <c r="C27" s="587"/>
      <c r="D27" s="587"/>
      <c r="E27" s="587"/>
      <c r="F27" s="587"/>
      <c r="G27" s="587"/>
      <c r="H27" s="601"/>
      <c r="I27" s="601"/>
      <c r="J27" s="601"/>
      <c r="K27" s="959"/>
      <c r="L27" s="959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15">
    <mergeCell ref="K3:L3"/>
    <mergeCell ref="A27:B27"/>
    <mergeCell ref="K27:L27"/>
    <mergeCell ref="A1:L1"/>
    <mergeCell ref="K4:L4"/>
    <mergeCell ref="A4:B4"/>
    <mergeCell ref="A2:L2"/>
    <mergeCell ref="B6:C6"/>
    <mergeCell ref="F6:G6"/>
    <mergeCell ref="H6:I6"/>
    <mergeCell ref="H5:I5"/>
    <mergeCell ref="B5:C5"/>
    <mergeCell ref="D5:E5"/>
    <mergeCell ref="F5:G5"/>
    <mergeCell ref="D6:E6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K39"/>
  <sheetViews>
    <sheetView rightToLeft="1" view="pageBreakPreview" zoomScale="96" zoomScaleNormal="100" zoomScaleSheetLayoutView="96" workbookViewId="0">
      <selection activeCell="A2" sqref="A2:H2"/>
    </sheetView>
  </sheetViews>
  <sheetFormatPr defaultRowHeight="13.2"/>
  <cols>
    <col min="1" max="1" width="13.88671875" customWidth="1"/>
    <col min="2" max="2" width="13.6640625" customWidth="1"/>
    <col min="3" max="3" width="15.33203125" customWidth="1"/>
    <col min="4" max="4" width="12.33203125" customWidth="1"/>
    <col min="5" max="5" width="16.6640625" customWidth="1"/>
    <col min="6" max="6" width="13.5546875" style="4" customWidth="1"/>
    <col min="7" max="7" width="14.109375" customWidth="1"/>
    <col min="8" max="8" width="16.5546875" customWidth="1"/>
  </cols>
  <sheetData>
    <row r="1" spans="1:8" ht="24" customHeight="1">
      <c r="A1" s="965" t="s">
        <v>455</v>
      </c>
      <c r="B1" s="965"/>
      <c r="C1" s="965"/>
      <c r="D1" s="965"/>
      <c r="E1" s="965"/>
      <c r="F1" s="965"/>
      <c r="G1" s="965"/>
      <c r="H1" s="965"/>
    </row>
    <row r="2" spans="1:8" ht="13.8">
      <c r="A2" s="966" t="s">
        <v>477</v>
      </c>
      <c r="B2" s="966"/>
      <c r="C2" s="966"/>
      <c r="D2" s="966"/>
      <c r="E2" s="966"/>
      <c r="F2" s="966"/>
      <c r="G2" s="966"/>
      <c r="H2" s="966"/>
    </row>
    <row r="3" spans="1:8" s="4" customFormat="1" ht="13.8">
      <c r="A3" s="139"/>
      <c r="B3" s="139"/>
      <c r="C3" s="139"/>
      <c r="D3" s="139"/>
      <c r="E3" s="139"/>
      <c r="F3" s="162"/>
      <c r="G3" s="940" t="s">
        <v>193</v>
      </c>
      <c r="H3" s="940"/>
    </row>
    <row r="4" spans="1:8" ht="15.75" customHeight="1" thickBot="1">
      <c r="A4" s="905" t="s">
        <v>405</v>
      </c>
      <c r="B4" s="905"/>
      <c r="C4" s="824" t="s">
        <v>413</v>
      </c>
      <c r="D4" s="16"/>
      <c r="E4" s="463"/>
      <c r="F4" s="463"/>
      <c r="G4" s="464" t="s">
        <v>302</v>
      </c>
      <c r="H4" s="465" t="s">
        <v>407</v>
      </c>
    </row>
    <row r="5" spans="1:8" ht="15.75" customHeight="1">
      <c r="A5" s="461"/>
      <c r="B5" s="968" t="s">
        <v>36</v>
      </c>
      <c r="C5" s="968"/>
      <c r="D5" s="968" t="s">
        <v>37</v>
      </c>
      <c r="E5" s="968"/>
      <c r="F5" s="968" t="s">
        <v>0</v>
      </c>
      <c r="G5" s="968"/>
      <c r="H5" s="462"/>
    </row>
    <row r="6" spans="1:8" s="110" customFormat="1" ht="15" customHeight="1">
      <c r="A6" s="363"/>
      <c r="B6" s="967" t="s">
        <v>153</v>
      </c>
      <c r="C6" s="967"/>
      <c r="D6" s="967" t="s">
        <v>150</v>
      </c>
      <c r="E6" s="967"/>
      <c r="F6" s="967" t="s">
        <v>1</v>
      </c>
      <c r="G6" s="967"/>
      <c r="H6" s="363"/>
    </row>
    <row r="7" spans="1:8" s="110" customFormat="1" ht="15" customHeight="1">
      <c r="A7" s="199"/>
      <c r="B7" s="363" t="s">
        <v>212</v>
      </c>
      <c r="C7" s="363" t="s">
        <v>215</v>
      </c>
      <c r="D7" s="363" t="s">
        <v>212</v>
      </c>
      <c r="E7" s="363" t="s">
        <v>215</v>
      </c>
      <c r="F7" s="363" t="s">
        <v>212</v>
      </c>
      <c r="G7" s="363" t="s">
        <v>215</v>
      </c>
      <c r="H7" s="199"/>
    </row>
    <row r="8" spans="1:8" s="454" customFormat="1" ht="15" customHeight="1" thickBot="1">
      <c r="A8" s="457" t="s">
        <v>49</v>
      </c>
      <c r="B8" s="457" t="s">
        <v>119</v>
      </c>
      <c r="C8" s="458" t="s">
        <v>28</v>
      </c>
      <c r="D8" s="457" t="s">
        <v>119</v>
      </c>
      <c r="E8" s="456" t="s">
        <v>28</v>
      </c>
      <c r="F8" s="457" t="s">
        <v>119</v>
      </c>
      <c r="G8" s="456" t="s">
        <v>28</v>
      </c>
      <c r="H8" s="456" t="s">
        <v>25</v>
      </c>
    </row>
    <row r="9" spans="1:8" s="239" customFormat="1" ht="15" customHeight="1" thickTop="1">
      <c r="A9" s="326" t="s">
        <v>328</v>
      </c>
      <c r="B9" s="511">
        <v>9341</v>
      </c>
      <c r="C9" s="511">
        <v>559496</v>
      </c>
      <c r="D9" s="511">
        <v>1996</v>
      </c>
      <c r="E9" s="511">
        <v>154748</v>
      </c>
      <c r="F9" s="511">
        <f>B9+D9</f>
        <v>11337</v>
      </c>
      <c r="G9" s="511">
        <f>C9+E9</f>
        <v>714244</v>
      </c>
      <c r="H9" s="327" t="s">
        <v>378</v>
      </c>
    </row>
    <row r="10" spans="1:8" s="166" customFormat="1" ht="15" customHeight="1">
      <c r="A10" s="279" t="s">
        <v>29</v>
      </c>
      <c r="B10" s="466">
        <v>10818</v>
      </c>
      <c r="C10" s="467">
        <v>746270</v>
      </c>
      <c r="D10" s="466">
        <v>2939</v>
      </c>
      <c r="E10" s="467">
        <v>243344</v>
      </c>
      <c r="F10" s="467">
        <f t="shared" ref="F10:F23" si="0">B10+D10</f>
        <v>13757</v>
      </c>
      <c r="G10" s="467">
        <f t="shared" ref="G10:G23" si="1">C10+E10</f>
        <v>989614</v>
      </c>
      <c r="H10" s="455" t="s">
        <v>30</v>
      </c>
    </row>
    <row r="11" spans="1:8" s="166" customFormat="1" ht="15" customHeight="1">
      <c r="A11" s="326" t="s">
        <v>3</v>
      </c>
      <c r="B11" s="511">
        <v>17381</v>
      </c>
      <c r="C11" s="511">
        <v>1348008</v>
      </c>
      <c r="D11" s="511">
        <v>3003</v>
      </c>
      <c r="E11" s="511">
        <f>D11*88</f>
        <v>264264</v>
      </c>
      <c r="F11" s="511">
        <f t="shared" si="0"/>
        <v>20384</v>
      </c>
      <c r="G11" s="511">
        <f t="shared" si="1"/>
        <v>1612272</v>
      </c>
      <c r="H11" s="327" t="s">
        <v>15</v>
      </c>
    </row>
    <row r="12" spans="1:8" s="166" customFormat="1" ht="15" customHeight="1">
      <c r="A12" s="279" t="s">
        <v>319</v>
      </c>
      <c r="B12" s="466">
        <v>14948</v>
      </c>
      <c r="C12" s="467">
        <v>1242614</v>
      </c>
      <c r="D12" s="466">
        <v>4140</v>
      </c>
      <c r="E12" s="467">
        <f t="shared" ref="E12:E13" si="2">D12*88</f>
        <v>364320</v>
      </c>
      <c r="F12" s="467">
        <f t="shared" si="0"/>
        <v>19088</v>
      </c>
      <c r="G12" s="467">
        <f t="shared" si="1"/>
        <v>1606934</v>
      </c>
      <c r="H12" s="455" t="s">
        <v>315</v>
      </c>
    </row>
    <row r="13" spans="1:8" s="166" customFormat="1" ht="15" customHeight="1">
      <c r="A13" s="326" t="s">
        <v>4</v>
      </c>
      <c r="B13" s="511">
        <v>51505</v>
      </c>
      <c r="C13" s="511">
        <v>3726544</v>
      </c>
      <c r="D13" s="511">
        <v>24173</v>
      </c>
      <c r="E13" s="511">
        <f t="shared" si="2"/>
        <v>2127224</v>
      </c>
      <c r="F13" s="511">
        <f t="shared" si="0"/>
        <v>75678</v>
      </c>
      <c r="G13" s="511">
        <f t="shared" si="1"/>
        <v>5853768</v>
      </c>
      <c r="H13" s="327" t="s">
        <v>16</v>
      </c>
    </row>
    <row r="14" spans="1:8" s="166" customFormat="1" ht="15" customHeight="1">
      <c r="A14" s="280" t="s">
        <v>5</v>
      </c>
      <c r="B14" s="466">
        <v>16734</v>
      </c>
      <c r="C14" s="467">
        <v>1412855</v>
      </c>
      <c r="D14" s="466">
        <v>17700</v>
      </c>
      <c r="E14" s="467">
        <v>1502692</v>
      </c>
      <c r="F14" s="467">
        <f t="shared" si="0"/>
        <v>34434</v>
      </c>
      <c r="G14" s="467">
        <f t="shared" si="1"/>
        <v>2915547</v>
      </c>
      <c r="H14" s="281" t="s">
        <v>23</v>
      </c>
    </row>
    <row r="15" spans="1:8" s="166" customFormat="1" ht="15" customHeight="1">
      <c r="A15" s="326" t="s">
        <v>6</v>
      </c>
      <c r="B15" s="511">
        <v>17263</v>
      </c>
      <c r="C15" s="511">
        <v>1268351</v>
      </c>
      <c r="D15" s="511">
        <v>3249</v>
      </c>
      <c r="E15" s="511">
        <v>322849</v>
      </c>
      <c r="F15" s="511">
        <f t="shared" si="0"/>
        <v>20512</v>
      </c>
      <c r="G15" s="511">
        <f t="shared" si="1"/>
        <v>1591200</v>
      </c>
      <c r="H15" s="327" t="s">
        <v>379</v>
      </c>
    </row>
    <row r="16" spans="1:8" s="166" customFormat="1" ht="15" customHeight="1">
      <c r="A16" s="280" t="s">
        <v>11</v>
      </c>
      <c r="B16" s="466">
        <v>17899</v>
      </c>
      <c r="C16" s="467">
        <v>1439488</v>
      </c>
      <c r="D16" s="466">
        <v>341</v>
      </c>
      <c r="E16" s="467">
        <v>21624</v>
      </c>
      <c r="F16" s="467">
        <f t="shared" si="0"/>
        <v>18240</v>
      </c>
      <c r="G16" s="467">
        <f t="shared" si="1"/>
        <v>1461112</v>
      </c>
      <c r="H16" s="281" t="s">
        <v>21</v>
      </c>
    </row>
    <row r="17" spans="1:11" s="166" customFormat="1" ht="15" customHeight="1">
      <c r="A17" s="326" t="s">
        <v>2</v>
      </c>
      <c r="B17" s="511">
        <v>6279</v>
      </c>
      <c r="C17" s="511">
        <v>501919</v>
      </c>
      <c r="D17" s="511">
        <v>340</v>
      </c>
      <c r="E17" s="511">
        <v>26699</v>
      </c>
      <c r="F17" s="511">
        <f t="shared" si="0"/>
        <v>6619</v>
      </c>
      <c r="G17" s="511">
        <f t="shared" si="1"/>
        <v>528618</v>
      </c>
      <c r="H17" s="327" t="s">
        <v>14</v>
      </c>
    </row>
    <row r="18" spans="1:11" s="166" customFormat="1" ht="15" customHeight="1">
      <c r="A18" s="280" t="s">
        <v>7</v>
      </c>
      <c r="B18" s="466">
        <v>32631</v>
      </c>
      <c r="C18" s="776">
        <v>2345120</v>
      </c>
      <c r="D18" s="466">
        <v>7108</v>
      </c>
      <c r="E18" s="467">
        <v>584912</v>
      </c>
      <c r="F18" s="467">
        <f t="shared" si="0"/>
        <v>39739</v>
      </c>
      <c r="G18" s="467">
        <f t="shared" si="1"/>
        <v>2930032</v>
      </c>
      <c r="H18" s="281" t="s">
        <v>17</v>
      </c>
    </row>
    <row r="19" spans="1:11" s="166" customFormat="1" ht="14.25" customHeight="1">
      <c r="A19" s="326" t="s">
        <v>8</v>
      </c>
      <c r="B19" s="511">
        <v>18026</v>
      </c>
      <c r="C19" s="511">
        <v>1302116</v>
      </c>
      <c r="D19" s="511">
        <v>0</v>
      </c>
      <c r="E19" s="511">
        <v>0</v>
      </c>
      <c r="F19" s="511">
        <f t="shared" si="0"/>
        <v>18026</v>
      </c>
      <c r="G19" s="511">
        <f t="shared" si="1"/>
        <v>1302116</v>
      </c>
      <c r="H19" s="327" t="s">
        <v>18</v>
      </c>
    </row>
    <row r="20" spans="1:11" s="166" customFormat="1" ht="16.5" customHeight="1">
      <c r="A20" s="280" t="s">
        <v>9</v>
      </c>
      <c r="B20" s="466">
        <v>12753</v>
      </c>
      <c r="C20" s="467">
        <v>878371</v>
      </c>
      <c r="D20" s="466">
        <v>0</v>
      </c>
      <c r="E20" s="467">
        <v>0</v>
      </c>
      <c r="F20" s="467">
        <f t="shared" si="0"/>
        <v>12753</v>
      </c>
      <c r="G20" s="467">
        <f t="shared" si="1"/>
        <v>878371</v>
      </c>
      <c r="H20" s="281" t="s">
        <v>19</v>
      </c>
    </row>
    <row r="21" spans="1:11" s="166" customFormat="1" ht="16.5" customHeight="1">
      <c r="A21" s="326" t="s">
        <v>10</v>
      </c>
      <c r="B21" s="511">
        <v>11460</v>
      </c>
      <c r="C21" s="511">
        <v>932701</v>
      </c>
      <c r="D21" s="511">
        <v>6712</v>
      </c>
      <c r="E21" s="511">
        <v>641501</v>
      </c>
      <c r="F21" s="511">
        <f t="shared" si="0"/>
        <v>18172</v>
      </c>
      <c r="G21" s="511">
        <f t="shared" si="1"/>
        <v>1574202</v>
      </c>
      <c r="H21" s="327" t="s">
        <v>20</v>
      </c>
    </row>
    <row r="22" spans="1:11" s="166" customFormat="1" ht="15" customHeight="1">
      <c r="A22" s="280" t="s">
        <v>12</v>
      </c>
      <c r="B22" s="466">
        <v>2897</v>
      </c>
      <c r="C22" s="467">
        <v>256253</v>
      </c>
      <c r="D22" s="466">
        <v>8340</v>
      </c>
      <c r="E22" s="467">
        <v>750778</v>
      </c>
      <c r="F22" s="467">
        <f t="shared" si="0"/>
        <v>11237</v>
      </c>
      <c r="G22" s="467">
        <f t="shared" si="1"/>
        <v>1007031</v>
      </c>
      <c r="H22" s="281" t="s">
        <v>24</v>
      </c>
    </row>
    <row r="23" spans="1:11" s="166" customFormat="1" ht="15" customHeight="1" thickBot="1">
      <c r="A23" s="459" t="s">
        <v>13</v>
      </c>
      <c r="B23" s="511">
        <v>39075</v>
      </c>
      <c r="C23" s="511">
        <v>3482060</v>
      </c>
      <c r="D23" s="511">
        <v>10756</v>
      </c>
      <c r="E23" s="511">
        <v>1010568</v>
      </c>
      <c r="F23" s="511">
        <f t="shared" si="0"/>
        <v>49831</v>
      </c>
      <c r="G23" s="511">
        <f t="shared" si="1"/>
        <v>4492628</v>
      </c>
      <c r="H23" s="460" t="s">
        <v>22</v>
      </c>
    </row>
    <row r="24" spans="1:11" s="239" customFormat="1" ht="20.25" customHeight="1" thickBot="1">
      <c r="A24" s="275" t="s">
        <v>0</v>
      </c>
      <c r="B24" s="276">
        <f>SUM(B9:B23)</f>
        <v>279010</v>
      </c>
      <c r="C24" s="276">
        <f t="shared" ref="C24:G24" si="3">SUM(C9:C23)</f>
        <v>21442166</v>
      </c>
      <c r="D24" s="276">
        <f t="shared" si="3"/>
        <v>90797</v>
      </c>
      <c r="E24" s="276">
        <f t="shared" si="3"/>
        <v>8015523</v>
      </c>
      <c r="F24" s="276">
        <f t="shared" si="3"/>
        <v>369807</v>
      </c>
      <c r="G24" s="276">
        <f t="shared" si="3"/>
        <v>29457689</v>
      </c>
      <c r="H24" s="555" t="s">
        <v>1</v>
      </c>
    </row>
    <row r="25" spans="1:11" s="4" customFormat="1" ht="20.25" customHeight="1">
      <c r="A25" s="932"/>
      <c r="B25" s="932"/>
      <c r="C25" s="932"/>
      <c r="D25" s="932"/>
      <c r="E25" s="932"/>
      <c r="F25" s="932"/>
      <c r="G25" s="932"/>
      <c r="H25" s="602"/>
      <c r="I25" s="587"/>
      <c r="J25" s="587"/>
    </row>
    <row r="26" spans="1:11" ht="13.8">
      <c r="A26" s="587"/>
      <c r="B26" s="587"/>
      <c r="C26" s="587"/>
      <c r="D26" s="587"/>
      <c r="E26" s="587"/>
      <c r="F26" s="587"/>
      <c r="G26" s="601"/>
      <c r="H26" s="590"/>
      <c r="I26" s="601"/>
      <c r="J26" s="587"/>
    </row>
    <row r="27" spans="1:11" ht="15" customHeight="1">
      <c r="A27" s="587"/>
      <c r="B27" s="587"/>
      <c r="C27" s="587"/>
      <c r="D27" s="587"/>
      <c r="E27" s="587"/>
      <c r="F27" s="587"/>
      <c r="G27" s="587"/>
      <c r="H27" s="587"/>
      <c r="I27" s="587"/>
      <c r="J27" s="587"/>
      <c r="K27" s="4"/>
    </row>
    <row r="28" spans="1:11">
      <c r="A28" s="4"/>
      <c r="B28" s="4"/>
      <c r="C28" s="4"/>
      <c r="D28" s="4"/>
      <c r="E28" s="4"/>
      <c r="G28" s="4"/>
      <c r="H28" s="4"/>
      <c r="I28" s="4"/>
      <c r="J28" s="4"/>
      <c r="K28" s="4"/>
    </row>
    <row r="29" spans="1:11">
      <c r="A29" s="4"/>
      <c r="B29" s="4"/>
      <c r="C29" s="4"/>
      <c r="D29" s="4"/>
      <c r="E29" s="4"/>
      <c r="G29" s="4"/>
      <c r="H29" s="4"/>
      <c r="I29" s="4"/>
      <c r="J29" s="4"/>
      <c r="K29" s="4"/>
    </row>
    <row r="30" spans="1:11">
      <c r="A30" s="4"/>
      <c r="B30" s="4"/>
      <c r="C30" s="4"/>
      <c r="D30" s="4"/>
      <c r="E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4"/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G35" s="4"/>
      <c r="H35" s="4"/>
      <c r="I35" s="4"/>
      <c r="J35" s="4"/>
      <c r="K35" s="4"/>
    </row>
    <row r="36" spans="1:11">
      <c r="A36" s="4"/>
      <c r="B36" s="4"/>
      <c r="C36" s="4"/>
      <c r="D36" s="4"/>
      <c r="E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G39" s="4"/>
      <c r="H39" s="4"/>
      <c r="I39" s="4"/>
      <c r="J39" s="4"/>
      <c r="K39" s="4"/>
    </row>
  </sheetData>
  <mergeCells count="11">
    <mergeCell ref="G3:H3"/>
    <mergeCell ref="A1:H1"/>
    <mergeCell ref="A2:H2"/>
    <mergeCell ref="A25:G25"/>
    <mergeCell ref="D6:E6"/>
    <mergeCell ref="D5:E5"/>
    <mergeCell ref="B5:C5"/>
    <mergeCell ref="B6:C6"/>
    <mergeCell ref="F5:G5"/>
    <mergeCell ref="F6:G6"/>
    <mergeCell ref="A4:B4"/>
  </mergeCells>
  <phoneticPr fontId="3" type="noConversion"/>
  <printOptions horizontalCentered="1" verticalCentered="1"/>
  <pageMargins left="0.23622047244094491" right="0.25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M27"/>
  <sheetViews>
    <sheetView rightToLeft="1" view="pageBreakPreview" zoomScale="106" zoomScaleNormal="100" zoomScaleSheetLayoutView="106" workbookViewId="0">
      <selection activeCell="A2" sqref="A2:J2"/>
    </sheetView>
  </sheetViews>
  <sheetFormatPr defaultRowHeight="13.2"/>
  <cols>
    <col min="1" max="1" width="9.6640625" customWidth="1"/>
    <col min="2" max="2" width="11.88671875" customWidth="1"/>
    <col min="3" max="3" width="12.44140625" customWidth="1"/>
    <col min="4" max="4" width="11.33203125" customWidth="1"/>
    <col min="5" max="5" width="10.88671875" customWidth="1"/>
    <col min="6" max="6" width="10.5546875" customWidth="1"/>
    <col min="7" max="7" width="11.88671875" customWidth="1"/>
    <col min="8" max="8" width="10.6640625" customWidth="1"/>
    <col min="9" max="9" width="11" customWidth="1"/>
    <col min="10" max="10" width="16.44140625" customWidth="1"/>
  </cols>
  <sheetData>
    <row r="1" spans="1:13" ht="13.8">
      <c r="A1" s="969" t="s">
        <v>455</v>
      </c>
      <c r="B1" s="969"/>
      <c r="C1" s="969"/>
      <c r="D1" s="969"/>
      <c r="E1" s="969"/>
      <c r="F1" s="969"/>
      <c r="G1" s="969"/>
      <c r="H1" s="969"/>
      <c r="I1" s="969"/>
      <c r="J1" s="969"/>
    </row>
    <row r="2" spans="1:13" ht="13.8">
      <c r="A2" s="970" t="s">
        <v>481</v>
      </c>
      <c r="B2" s="970"/>
      <c r="C2" s="970"/>
      <c r="D2" s="970"/>
      <c r="E2" s="970"/>
      <c r="F2" s="970"/>
      <c r="G2" s="970"/>
      <c r="H2" s="970"/>
      <c r="I2" s="970"/>
      <c r="J2" s="970"/>
    </row>
    <row r="3" spans="1:13" s="4" customFormat="1" ht="13.8">
      <c r="A3" s="140"/>
      <c r="B3" s="140"/>
      <c r="C3" s="140"/>
      <c r="D3" s="140"/>
      <c r="E3" s="140"/>
      <c r="F3" s="140"/>
      <c r="G3" s="140"/>
      <c r="H3" s="140"/>
      <c r="I3" s="940" t="s">
        <v>193</v>
      </c>
      <c r="J3" s="940"/>
    </row>
    <row r="4" spans="1:13" ht="14.25" customHeight="1" thickBot="1">
      <c r="A4" s="905" t="s">
        <v>405</v>
      </c>
      <c r="B4" s="905"/>
      <c r="C4" s="971" t="s">
        <v>414</v>
      </c>
      <c r="D4" s="971"/>
      <c r="E4" s="89"/>
      <c r="F4" s="16"/>
      <c r="G4" s="90"/>
      <c r="H4" s="972" t="s">
        <v>303</v>
      </c>
      <c r="I4" s="972"/>
      <c r="J4" s="91" t="s">
        <v>408</v>
      </c>
    </row>
    <row r="5" spans="1:13" ht="15" customHeight="1">
      <c r="A5" s="6"/>
      <c r="B5" s="973" t="s">
        <v>326</v>
      </c>
      <c r="C5" s="973"/>
      <c r="D5" s="973" t="s">
        <v>219</v>
      </c>
      <c r="E5" s="973"/>
      <c r="F5" s="973" t="s">
        <v>45</v>
      </c>
      <c r="G5" s="973"/>
      <c r="H5" s="973" t="s">
        <v>46</v>
      </c>
      <c r="I5" s="973"/>
      <c r="J5" s="92"/>
    </row>
    <row r="6" spans="1:13" ht="15" customHeight="1">
      <c r="A6" s="93"/>
      <c r="B6" s="970" t="s">
        <v>266</v>
      </c>
      <c r="C6" s="970"/>
      <c r="D6" s="970" t="s">
        <v>151</v>
      </c>
      <c r="E6" s="970"/>
      <c r="F6" s="885" t="s">
        <v>267</v>
      </c>
      <c r="G6" s="885"/>
      <c r="H6" s="970" t="s">
        <v>268</v>
      </c>
      <c r="I6" s="970"/>
      <c r="J6" s="93"/>
    </row>
    <row r="7" spans="1:13" ht="15" customHeight="1">
      <c r="A7" s="93"/>
      <c r="B7" s="200" t="s">
        <v>39</v>
      </c>
      <c r="C7" s="200" t="s">
        <v>215</v>
      </c>
      <c r="D7" s="200" t="s">
        <v>39</v>
      </c>
      <c r="E7" s="200" t="s">
        <v>215</v>
      </c>
      <c r="F7" s="200" t="s">
        <v>26</v>
      </c>
      <c r="G7" s="200" t="s">
        <v>215</v>
      </c>
      <c r="H7" s="201" t="s">
        <v>26</v>
      </c>
      <c r="I7" s="201" t="s">
        <v>215</v>
      </c>
      <c r="J7" s="202"/>
    </row>
    <row r="8" spans="1:13" ht="15.75" customHeight="1" thickBot="1">
      <c r="A8" s="468" t="s">
        <v>128</v>
      </c>
      <c r="B8" s="469" t="s">
        <v>40</v>
      </c>
      <c r="C8" s="470" t="s">
        <v>28</v>
      </c>
      <c r="D8" s="470" t="s">
        <v>40</v>
      </c>
      <c r="E8" s="470" t="s">
        <v>28</v>
      </c>
      <c r="F8" s="470" t="s">
        <v>120</v>
      </c>
      <c r="G8" s="470" t="s">
        <v>28</v>
      </c>
      <c r="H8" s="471" t="s">
        <v>120</v>
      </c>
      <c r="I8" s="471" t="s">
        <v>28</v>
      </c>
      <c r="J8" s="472" t="s">
        <v>25</v>
      </c>
      <c r="K8" s="4"/>
      <c r="L8" s="4"/>
      <c r="M8" s="4"/>
    </row>
    <row r="9" spans="1:13" s="166" customFormat="1" ht="15" customHeight="1" thickTop="1">
      <c r="A9" s="282" t="s">
        <v>328</v>
      </c>
      <c r="B9" s="283">
        <v>117456</v>
      </c>
      <c r="C9" s="283">
        <v>278969</v>
      </c>
      <c r="D9" s="283">
        <v>384</v>
      </c>
      <c r="E9" s="283">
        <f>D9*3</f>
        <v>1152</v>
      </c>
      <c r="F9" s="283">
        <v>0</v>
      </c>
      <c r="G9" s="283">
        <v>0</v>
      </c>
      <c r="H9" s="283">
        <v>4567</v>
      </c>
      <c r="I9" s="283">
        <v>3585</v>
      </c>
      <c r="J9" s="284" t="s">
        <v>378</v>
      </c>
    </row>
    <row r="10" spans="1:13" s="166" customFormat="1" ht="15" customHeight="1">
      <c r="A10" s="328" t="s">
        <v>29</v>
      </c>
      <c r="B10" s="329">
        <v>151967</v>
      </c>
      <c r="C10" s="329">
        <f>B10*4</f>
        <v>607868</v>
      </c>
      <c r="D10" s="329">
        <v>313</v>
      </c>
      <c r="E10" s="329">
        <f>D10*3</f>
        <v>939</v>
      </c>
      <c r="F10" s="329">
        <v>457</v>
      </c>
      <c r="G10" s="329">
        <f>F10*54</f>
        <v>24678</v>
      </c>
      <c r="H10" s="329">
        <v>0</v>
      </c>
      <c r="I10" s="329">
        <v>0</v>
      </c>
      <c r="J10" s="330" t="s">
        <v>30</v>
      </c>
    </row>
    <row r="11" spans="1:13" s="166" customFormat="1" ht="15" customHeight="1">
      <c r="A11" s="285" t="s">
        <v>3</v>
      </c>
      <c r="B11" s="283">
        <v>208838</v>
      </c>
      <c r="C11" s="283">
        <f>B11*2</f>
        <v>417676</v>
      </c>
      <c r="D11" s="283">
        <v>1624</v>
      </c>
      <c r="E11" s="283">
        <f>D11*3</f>
        <v>4872</v>
      </c>
      <c r="F11" s="283">
        <v>18392</v>
      </c>
      <c r="G11" s="283">
        <f t="shared" ref="G11:G23" si="0">F11*54</f>
        <v>993168</v>
      </c>
      <c r="H11" s="283">
        <v>286</v>
      </c>
      <c r="I11" s="283">
        <f>H11*4</f>
        <v>1144</v>
      </c>
      <c r="J11" s="286" t="s">
        <v>15</v>
      </c>
    </row>
    <row r="12" spans="1:13" s="166" customFormat="1" ht="15" customHeight="1">
      <c r="A12" s="328" t="s">
        <v>319</v>
      </c>
      <c r="B12" s="329">
        <v>281392</v>
      </c>
      <c r="C12" s="329">
        <v>529810</v>
      </c>
      <c r="D12" s="329">
        <v>778</v>
      </c>
      <c r="E12" s="329">
        <f>D12*1</f>
        <v>778</v>
      </c>
      <c r="F12" s="329">
        <v>16058</v>
      </c>
      <c r="G12" s="329">
        <f t="shared" si="0"/>
        <v>867132</v>
      </c>
      <c r="H12" s="329">
        <v>0</v>
      </c>
      <c r="I12" s="329">
        <v>0</v>
      </c>
      <c r="J12" s="330" t="s">
        <v>315</v>
      </c>
    </row>
    <row r="13" spans="1:13" s="166" customFormat="1" ht="15" customHeight="1">
      <c r="A13" s="285" t="s">
        <v>4</v>
      </c>
      <c r="B13" s="283">
        <v>198377</v>
      </c>
      <c r="C13" s="283">
        <f>B13*4</f>
        <v>793508</v>
      </c>
      <c r="D13" s="283">
        <v>3031</v>
      </c>
      <c r="E13" s="283">
        <f>D13*2</f>
        <v>6062</v>
      </c>
      <c r="F13" s="283">
        <v>39187</v>
      </c>
      <c r="G13" s="283">
        <f t="shared" si="0"/>
        <v>2116098</v>
      </c>
      <c r="H13" s="283">
        <v>46796</v>
      </c>
      <c r="I13" s="283">
        <f>H13*4</f>
        <v>187184</v>
      </c>
      <c r="J13" s="286" t="s">
        <v>16</v>
      </c>
    </row>
    <row r="14" spans="1:13" s="166" customFormat="1" ht="15" customHeight="1">
      <c r="A14" s="331" t="s">
        <v>5</v>
      </c>
      <c r="B14" s="329">
        <v>291836</v>
      </c>
      <c r="C14" s="329">
        <f>B14*4</f>
        <v>1167344</v>
      </c>
      <c r="D14" s="329">
        <v>677</v>
      </c>
      <c r="E14" s="329">
        <f>D14*2</f>
        <v>1354</v>
      </c>
      <c r="F14" s="329">
        <v>29547</v>
      </c>
      <c r="G14" s="329">
        <f t="shared" si="0"/>
        <v>1595538</v>
      </c>
      <c r="H14" s="329">
        <v>3595</v>
      </c>
      <c r="I14" s="329">
        <f t="shared" ref="I14:I16" si="1">H14*4</f>
        <v>14380</v>
      </c>
      <c r="J14" s="332" t="s">
        <v>23</v>
      </c>
    </row>
    <row r="15" spans="1:13" s="166" customFormat="1" ht="15" customHeight="1">
      <c r="A15" s="285" t="s">
        <v>6</v>
      </c>
      <c r="B15" s="283">
        <v>184216</v>
      </c>
      <c r="C15" s="283">
        <v>353434</v>
      </c>
      <c r="D15" s="283">
        <v>0</v>
      </c>
      <c r="E15" s="283">
        <v>0</v>
      </c>
      <c r="F15" s="283">
        <v>45556</v>
      </c>
      <c r="G15" s="283">
        <f t="shared" si="0"/>
        <v>2460024</v>
      </c>
      <c r="H15" s="283">
        <v>2551</v>
      </c>
      <c r="I15" s="283">
        <f t="shared" si="1"/>
        <v>10204</v>
      </c>
      <c r="J15" s="286" t="s">
        <v>379</v>
      </c>
    </row>
    <row r="16" spans="1:13" s="166" customFormat="1" ht="15" customHeight="1">
      <c r="A16" s="331" t="s">
        <v>11</v>
      </c>
      <c r="B16" s="329">
        <v>178138</v>
      </c>
      <c r="C16" s="329">
        <v>219713</v>
      </c>
      <c r="D16" s="329">
        <v>660</v>
      </c>
      <c r="E16" s="329">
        <f>D16*2</f>
        <v>1320</v>
      </c>
      <c r="F16" s="329">
        <v>21437</v>
      </c>
      <c r="G16" s="329">
        <f t="shared" si="0"/>
        <v>1157598</v>
      </c>
      <c r="H16" s="329">
        <v>689</v>
      </c>
      <c r="I16" s="329">
        <f t="shared" si="1"/>
        <v>2756</v>
      </c>
      <c r="J16" s="332" t="s">
        <v>21</v>
      </c>
    </row>
    <row r="17" spans="1:10" s="166" customFormat="1" ht="15" customHeight="1">
      <c r="A17" s="285" t="s">
        <v>2</v>
      </c>
      <c r="B17" s="283">
        <v>123819</v>
      </c>
      <c r="C17" s="283">
        <v>410136</v>
      </c>
      <c r="D17" s="283">
        <v>856</v>
      </c>
      <c r="E17" s="283">
        <f>D17*1</f>
        <v>856</v>
      </c>
      <c r="F17" s="283">
        <v>5844</v>
      </c>
      <c r="G17" s="283">
        <f t="shared" si="0"/>
        <v>315576</v>
      </c>
      <c r="H17" s="283">
        <v>2982</v>
      </c>
      <c r="I17" s="283">
        <v>15177</v>
      </c>
      <c r="J17" s="286" t="s">
        <v>14</v>
      </c>
    </row>
    <row r="18" spans="1:10" s="166" customFormat="1" ht="15" customHeight="1">
      <c r="A18" s="331" t="s">
        <v>7</v>
      </c>
      <c r="B18" s="329">
        <v>139895</v>
      </c>
      <c r="C18" s="775">
        <v>226530</v>
      </c>
      <c r="D18" s="329">
        <v>2290</v>
      </c>
      <c r="E18" s="775">
        <f>D18*1</f>
        <v>2290</v>
      </c>
      <c r="F18" s="329">
        <v>44600</v>
      </c>
      <c r="G18" s="329">
        <f t="shared" si="0"/>
        <v>2408400</v>
      </c>
      <c r="H18" s="329">
        <v>15588</v>
      </c>
      <c r="I18" s="775">
        <f>H18*4</f>
        <v>62352</v>
      </c>
      <c r="J18" s="332" t="s">
        <v>17</v>
      </c>
    </row>
    <row r="19" spans="1:10" s="166" customFormat="1" ht="15" customHeight="1">
      <c r="A19" s="285" t="s">
        <v>8</v>
      </c>
      <c r="B19" s="283">
        <v>282699</v>
      </c>
      <c r="C19" s="283">
        <v>288169</v>
      </c>
      <c r="D19" s="283">
        <v>232</v>
      </c>
      <c r="E19" s="283">
        <f>D19*2</f>
        <v>464</v>
      </c>
      <c r="F19" s="283">
        <v>23224</v>
      </c>
      <c r="G19" s="283">
        <f t="shared" si="0"/>
        <v>1254096</v>
      </c>
      <c r="H19" s="283">
        <v>22220</v>
      </c>
      <c r="I19" s="283">
        <f t="shared" ref="I19:I21" si="2">H19*4</f>
        <v>88880</v>
      </c>
      <c r="J19" s="286" t="s">
        <v>18</v>
      </c>
    </row>
    <row r="20" spans="1:10" s="166" customFormat="1" ht="15" customHeight="1">
      <c r="A20" s="331" t="s">
        <v>9</v>
      </c>
      <c r="B20" s="329">
        <v>198820</v>
      </c>
      <c r="C20" s="329">
        <v>166924</v>
      </c>
      <c r="D20" s="329">
        <v>15</v>
      </c>
      <c r="E20" s="329">
        <f>D20*1</f>
        <v>15</v>
      </c>
      <c r="F20" s="329">
        <v>21935</v>
      </c>
      <c r="G20" s="329">
        <f t="shared" si="0"/>
        <v>1184490</v>
      </c>
      <c r="H20" s="329">
        <v>982</v>
      </c>
      <c r="I20" s="329">
        <f t="shared" si="2"/>
        <v>3928</v>
      </c>
      <c r="J20" s="332" t="s">
        <v>19</v>
      </c>
    </row>
    <row r="21" spans="1:10" s="166" customFormat="1" ht="15" customHeight="1">
      <c r="A21" s="285" t="s">
        <v>10</v>
      </c>
      <c r="B21" s="283">
        <v>75412</v>
      </c>
      <c r="C21" s="283">
        <v>41338</v>
      </c>
      <c r="D21" s="283">
        <v>2295</v>
      </c>
      <c r="E21" s="283">
        <v>2293</v>
      </c>
      <c r="F21" s="283">
        <v>13328</v>
      </c>
      <c r="G21" s="283">
        <f t="shared" si="0"/>
        <v>719712</v>
      </c>
      <c r="H21" s="283">
        <v>13</v>
      </c>
      <c r="I21" s="283">
        <f t="shared" si="2"/>
        <v>52</v>
      </c>
      <c r="J21" s="286" t="s">
        <v>20</v>
      </c>
    </row>
    <row r="22" spans="1:10" s="166" customFormat="1" ht="15" customHeight="1">
      <c r="A22" s="331" t="s">
        <v>12</v>
      </c>
      <c r="B22" s="329">
        <v>49612</v>
      </c>
      <c r="C22" s="329">
        <v>42454</v>
      </c>
      <c r="D22" s="329">
        <v>0</v>
      </c>
      <c r="E22" s="329">
        <f t="shared" ref="E22" si="3">D22*2</f>
        <v>0</v>
      </c>
      <c r="F22" s="329">
        <v>4595</v>
      </c>
      <c r="G22" s="329">
        <f t="shared" si="0"/>
        <v>248130</v>
      </c>
      <c r="H22" s="329">
        <v>486</v>
      </c>
      <c r="I22" s="329">
        <f>H22*3</f>
        <v>1458</v>
      </c>
      <c r="J22" s="332" t="s">
        <v>24</v>
      </c>
    </row>
    <row r="23" spans="1:10" s="166" customFormat="1" ht="15" customHeight="1" thickBot="1">
      <c r="A23" s="473" t="s">
        <v>13</v>
      </c>
      <c r="B23" s="474">
        <v>425814</v>
      </c>
      <c r="C23" s="283">
        <v>851072</v>
      </c>
      <c r="D23" s="474">
        <v>5652</v>
      </c>
      <c r="E23" s="283">
        <f>D23*3</f>
        <v>16956</v>
      </c>
      <c r="F23" s="474">
        <v>50543</v>
      </c>
      <c r="G23" s="474">
        <f t="shared" si="0"/>
        <v>2729322</v>
      </c>
      <c r="H23" s="474">
        <v>2868</v>
      </c>
      <c r="I23" s="283">
        <f>H23*4</f>
        <v>11472</v>
      </c>
      <c r="J23" s="475" t="s">
        <v>22</v>
      </c>
    </row>
    <row r="24" spans="1:10" s="181" customFormat="1" ht="20.25" customHeight="1" thickBot="1">
      <c r="A24" s="203" t="s">
        <v>0</v>
      </c>
      <c r="B24" s="204">
        <f>SUM(B9:B23)</f>
        <v>2908291</v>
      </c>
      <c r="C24" s="204">
        <f t="shared" ref="C24:I24" si="4">SUM(C9:C23)</f>
        <v>6394945</v>
      </c>
      <c r="D24" s="204">
        <f>SUM(D9:D23)</f>
        <v>18807</v>
      </c>
      <c r="E24" s="204">
        <f t="shared" si="4"/>
        <v>39351</v>
      </c>
      <c r="F24" s="204">
        <f t="shared" si="4"/>
        <v>334703</v>
      </c>
      <c r="G24" s="204">
        <f t="shared" si="4"/>
        <v>18073962</v>
      </c>
      <c r="H24" s="204">
        <f t="shared" si="4"/>
        <v>103623</v>
      </c>
      <c r="I24" s="204">
        <f t="shared" si="4"/>
        <v>402572</v>
      </c>
      <c r="J24" s="205" t="s">
        <v>1</v>
      </c>
    </row>
    <row r="25" spans="1:10" s="4" customFormat="1" ht="20.25" customHeight="1">
      <c r="A25" s="932"/>
      <c r="B25" s="932"/>
      <c r="C25" s="932"/>
      <c r="D25" s="932"/>
      <c r="E25" s="932"/>
      <c r="F25" s="932"/>
      <c r="G25" s="932"/>
      <c r="H25" s="932"/>
      <c r="I25" s="599"/>
      <c r="J25" s="600"/>
    </row>
    <row r="26" spans="1:10" ht="13.8">
      <c r="A26" s="587"/>
      <c r="B26" s="587"/>
      <c r="C26" s="587"/>
      <c r="D26" s="587"/>
      <c r="E26" s="587"/>
      <c r="F26" s="587"/>
      <c r="G26" s="587"/>
      <c r="H26" s="601"/>
      <c r="I26" s="587"/>
      <c r="J26" s="590"/>
    </row>
    <row r="27" spans="1:10" ht="12.75" customHeight="1">
      <c r="A27" s="953"/>
      <c r="B27" s="953"/>
      <c r="C27" s="587"/>
      <c r="D27" s="587"/>
      <c r="E27" s="587"/>
      <c r="F27" s="587"/>
      <c r="G27" s="587"/>
      <c r="H27" s="601"/>
      <c r="I27" s="954"/>
      <c r="J27" s="954"/>
    </row>
  </sheetData>
  <mergeCells count="17">
    <mergeCell ref="H6:I6"/>
    <mergeCell ref="A1:J1"/>
    <mergeCell ref="A4:B4"/>
    <mergeCell ref="A2:J2"/>
    <mergeCell ref="I3:J3"/>
    <mergeCell ref="A27:B27"/>
    <mergeCell ref="I27:J27"/>
    <mergeCell ref="C4:D4"/>
    <mergeCell ref="H4:I4"/>
    <mergeCell ref="A25:H25"/>
    <mergeCell ref="B5:C5"/>
    <mergeCell ref="B6:C6"/>
    <mergeCell ref="F5:G5"/>
    <mergeCell ref="F6:G6"/>
    <mergeCell ref="D5:E5"/>
    <mergeCell ref="D6:E6"/>
    <mergeCell ref="H5:I5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J27"/>
  <sheetViews>
    <sheetView rightToLeft="1" view="pageBreakPreview" zoomScaleNormal="80" zoomScaleSheetLayoutView="100" workbookViewId="0">
      <selection activeCell="A2" sqref="A2:G2"/>
    </sheetView>
  </sheetViews>
  <sheetFormatPr defaultRowHeight="13.2"/>
  <cols>
    <col min="1" max="1" width="12" customWidth="1"/>
    <col min="2" max="2" width="12.5546875" customWidth="1"/>
    <col min="3" max="3" width="13.6640625" customWidth="1"/>
    <col min="4" max="4" width="13.88671875" customWidth="1"/>
    <col min="5" max="5" width="17.44140625" customWidth="1"/>
    <col min="6" max="6" width="12.5546875" style="4" customWidth="1"/>
    <col min="7" max="7" width="15.5546875" customWidth="1"/>
  </cols>
  <sheetData>
    <row r="1" spans="1:7" ht="13.8">
      <c r="A1" s="974" t="s">
        <v>455</v>
      </c>
      <c r="B1" s="974"/>
      <c r="C1" s="974"/>
      <c r="D1" s="974"/>
      <c r="E1" s="974"/>
      <c r="F1" s="974"/>
      <c r="G1" s="974"/>
    </row>
    <row r="2" spans="1:7" ht="16.5" customHeight="1">
      <c r="A2" s="975" t="s">
        <v>482</v>
      </c>
      <c r="B2" s="975"/>
      <c r="C2" s="975"/>
      <c r="D2" s="975"/>
      <c r="E2" s="975"/>
      <c r="F2" s="975"/>
      <c r="G2" s="975"/>
    </row>
    <row r="3" spans="1:7" s="4" customFormat="1" ht="16.5" customHeight="1">
      <c r="A3" s="141"/>
      <c r="B3" s="141"/>
      <c r="C3" s="141"/>
      <c r="D3" s="141"/>
      <c r="E3" s="141"/>
      <c r="F3" s="163"/>
      <c r="G3" s="520"/>
    </row>
    <row r="4" spans="1:7" ht="15" customHeight="1" thickBot="1">
      <c r="A4" s="905" t="s">
        <v>405</v>
      </c>
      <c r="B4" s="905"/>
      <c r="C4" s="976" t="s">
        <v>167</v>
      </c>
      <c r="D4" s="976"/>
      <c r="E4" s="94"/>
      <c r="F4" s="521"/>
      <c r="G4" s="151" t="s">
        <v>408</v>
      </c>
    </row>
    <row r="5" spans="1:7" ht="15" customHeight="1">
      <c r="A5" s="95"/>
      <c r="B5" s="96" t="s">
        <v>43</v>
      </c>
      <c r="C5" s="97"/>
      <c r="D5" s="96" t="s">
        <v>35</v>
      </c>
      <c r="E5" s="96"/>
      <c r="F5" s="522" t="s">
        <v>368</v>
      </c>
      <c r="G5" s="95"/>
    </row>
    <row r="6" spans="1:7" s="4" customFormat="1" ht="28.5" customHeight="1">
      <c r="A6" s="114"/>
      <c r="B6" s="115" t="s">
        <v>233</v>
      </c>
      <c r="C6" s="114"/>
      <c r="D6" s="125" t="s">
        <v>287</v>
      </c>
      <c r="E6" s="115"/>
      <c r="F6" s="523" t="s">
        <v>1</v>
      </c>
      <c r="G6" s="114"/>
    </row>
    <row r="7" spans="1:7" ht="15" customHeight="1">
      <c r="A7" s="98"/>
      <c r="B7" s="206" t="s">
        <v>26</v>
      </c>
      <c r="C7" s="207" t="s">
        <v>215</v>
      </c>
      <c r="D7" s="207" t="s">
        <v>26</v>
      </c>
      <c r="E7" s="207" t="s">
        <v>217</v>
      </c>
      <c r="F7" s="524" t="s">
        <v>215</v>
      </c>
      <c r="G7" s="114"/>
    </row>
    <row r="8" spans="1:7" s="2" customFormat="1" ht="15" customHeight="1" thickBot="1">
      <c r="A8" s="476" t="s">
        <v>47</v>
      </c>
      <c r="B8" s="477" t="s">
        <v>120</v>
      </c>
      <c r="C8" s="478" t="s">
        <v>28</v>
      </c>
      <c r="D8" s="478" t="s">
        <v>120</v>
      </c>
      <c r="E8" s="478" t="s">
        <v>28</v>
      </c>
      <c r="F8" s="525" t="s">
        <v>28</v>
      </c>
      <c r="G8" s="479" t="s">
        <v>25</v>
      </c>
    </row>
    <row r="9" spans="1:7" s="239" customFormat="1" ht="15" customHeight="1" thickTop="1">
      <c r="A9" s="282" t="s">
        <v>328</v>
      </c>
      <c r="B9" s="283">
        <v>2547</v>
      </c>
      <c r="C9" s="283">
        <f>B9*4</f>
        <v>10188</v>
      </c>
      <c r="D9" s="283">
        <v>824</v>
      </c>
      <c r="E9" s="283">
        <f>D9*152</f>
        <v>125248</v>
      </c>
      <c r="F9" s="530">
        <f>ت.كهربائيه1!C9+ت.كهربائيه1!E9+ت.كهربائيه1!G9+ت.كهربائيه1!I9+ت.كهربائيه2!C9+ت.كهربائيه2!E9</f>
        <v>419142</v>
      </c>
      <c r="G9" s="287" t="s">
        <v>378</v>
      </c>
    </row>
    <row r="10" spans="1:7" s="166" customFormat="1" ht="15" customHeight="1">
      <c r="A10" s="328" t="s">
        <v>29</v>
      </c>
      <c r="B10" s="329">
        <v>2751</v>
      </c>
      <c r="C10" s="329">
        <f>B10*4</f>
        <v>11004</v>
      </c>
      <c r="D10" s="329">
        <v>0</v>
      </c>
      <c r="E10" s="329">
        <v>0</v>
      </c>
      <c r="F10" s="329">
        <f>ت.كهربائيه1!C10+ت.كهربائيه1!E10+ت.كهربائيه1!G10+ت.كهربائيه1!I10+ت.كهربائيه2!C10+ت.كهربائيه2!E10</f>
        <v>644489</v>
      </c>
      <c r="G10" s="335" t="s">
        <v>30</v>
      </c>
    </row>
    <row r="11" spans="1:7" s="166" customFormat="1" ht="15" customHeight="1">
      <c r="A11" s="285" t="s">
        <v>3</v>
      </c>
      <c r="B11" s="283">
        <v>150</v>
      </c>
      <c r="C11" s="283">
        <f>B11*4</f>
        <v>600</v>
      </c>
      <c r="D11" s="283">
        <v>0</v>
      </c>
      <c r="E11" s="283">
        <v>0</v>
      </c>
      <c r="F11" s="283">
        <f>ت.كهربائيه1!C11+ت.كهربائيه1!E11+ت.كهربائيه1!G11+ت.كهربائيه1!I11+ت.كهربائيه2!C11+ت.كهربائيه2!E11</f>
        <v>1417460</v>
      </c>
      <c r="G11" s="287" t="s">
        <v>15</v>
      </c>
    </row>
    <row r="12" spans="1:7" s="166" customFormat="1" ht="15" customHeight="1">
      <c r="A12" s="328" t="s">
        <v>319</v>
      </c>
      <c r="B12" s="329">
        <v>4856</v>
      </c>
      <c r="C12" s="329">
        <f t="shared" ref="C12:C14" si="0">B12*4</f>
        <v>19424</v>
      </c>
      <c r="D12" s="329">
        <v>0</v>
      </c>
      <c r="E12" s="329">
        <v>0</v>
      </c>
      <c r="F12" s="329">
        <f>ت.كهربائيه1!C12+ت.كهربائيه1!E12+ت.كهربائيه1!G12+ت.كهربائيه1!I12+ت.كهربائيه2!C12+ت.كهربائيه2!E12</f>
        <v>1417144</v>
      </c>
      <c r="G12" s="335" t="s">
        <v>315</v>
      </c>
    </row>
    <row r="13" spans="1:7" s="166" customFormat="1" ht="15" customHeight="1">
      <c r="A13" s="285" t="s">
        <v>4</v>
      </c>
      <c r="B13" s="283">
        <v>3606</v>
      </c>
      <c r="C13" s="283">
        <f t="shared" si="0"/>
        <v>14424</v>
      </c>
      <c r="D13" s="283">
        <v>1017</v>
      </c>
      <c r="E13" s="283">
        <f>D13*152</f>
        <v>154584</v>
      </c>
      <c r="F13" s="283">
        <f>ت.كهربائيه1!C13+ت.كهربائيه1!E13+ت.كهربائيه1!G13+ت.كهربائيه1!I13+ت.كهربائيه2!C13+ت.كهربائيه2!E13</f>
        <v>3271860</v>
      </c>
      <c r="G13" s="287" t="s">
        <v>16</v>
      </c>
    </row>
    <row r="14" spans="1:7" s="166" customFormat="1" ht="15" customHeight="1">
      <c r="A14" s="331" t="s">
        <v>5</v>
      </c>
      <c r="B14" s="329">
        <v>1945</v>
      </c>
      <c r="C14" s="329">
        <f t="shared" si="0"/>
        <v>7780</v>
      </c>
      <c r="D14" s="329">
        <v>0</v>
      </c>
      <c r="E14" s="329">
        <f t="shared" ref="E14:E23" si="1">D14*150</f>
        <v>0</v>
      </c>
      <c r="F14" s="329">
        <f>ت.كهربائيه1!C14+ت.كهربائيه1!E14+ت.كهربائيه1!G14+ت.كهربائيه1!I14+ت.كهربائيه2!C14+ت.كهربائيه2!E14</f>
        <v>2786396</v>
      </c>
      <c r="G14" s="335" t="s">
        <v>23</v>
      </c>
    </row>
    <row r="15" spans="1:7" s="166" customFormat="1" ht="15" customHeight="1">
      <c r="A15" s="285" t="s">
        <v>6</v>
      </c>
      <c r="B15" s="283">
        <v>1778</v>
      </c>
      <c r="C15" s="283">
        <f>B15*4</f>
        <v>7112</v>
      </c>
      <c r="D15" s="283">
        <v>65</v>
      </c>
      <c r="E15" s="283">
        <f t="shared" si="1"/>
        <v>9750</v>
      </c>
      <c r="F15" s="283">
        <f>ت.كهربائيه1!C15+ت.كهربائيه1!E15+ت.كهربائيه1!G15+ت.كهربائيه1!I15+ت.كهربائيه2!C15+ت.كهربائيه2!E15</f>
        <v>2840524</v>
      </c>
      <c r="G15" s="287" t="s">
        <v>379</v>
      </c>
    </row>
    <row r="16" spans="1:7" s="166" customFormat="1" ht="15" customHeight="1">
      <c r="A16" s="331" t="s">
        <v>11</v>
      </c>
      <c r="B16" s="329">
        <v>200</v>
      </c>
      <c r="C16" s="329">
        <f>B16*3</f>
        <v>600</v>
      </c>
      <c r="D16" s="329">
        <v>0</v>
      </c>
      <c r="E16" s="329">
        <f t="shared" si="1"/>
        <v>0</v>
      </c>
      <c r="F16" s="329">
        <f>ت.كهربائيه1!C16+ت.كهربائيه1!E16+ت.كهربائيه1!G16+ت.كهربائيه1!I16+ت.كهربائيه2!C16+ت.كهربائيه2!E16</f>
        <v>1381987</v>
      </c>
      <c r="G16" s="335" t="s">
        <v>21</v>
      </c>
    </row>
    <row r="17" spans="1:10" s="166" customFormat="1" ht="15.75" customHeight="1">
      <c r="A17" s="285" t="s">
        <v>2</v>
      </c>
      <c r="B17" s="283">
        <v>626</v>
      </c>
      <c r="C17" s="283">
        <f>B17*3</f>
        <v>1878</v>
      </c>
      <c r="D17" s="283">
        <v>0</v>
      </c>
      <c r="E17" s="283">
        <f t="shared" si="1"/>
        <v>0</v>
      </c>
      <c r="F17" s="283">
        <f>ت.كهربائيه1!C17+ت.كهربائيه1!E17+ت.كهربائيه1!G17+ت.كهربائيه1!I17+ت.كهربائيه2!C17+ت.كهربائيه2!E17</f>
        <v>743623</v>
      </c>
      <c r="G17" s="287" t="s">
        <v>14</v>
      </c>
    </row>
    <row r="18" spans="1:10" s="166" customFormat="1" ht="15" customHeight="1">
      <c r="A18" s="331" t="s">
        <v>7</v>
      </c>
      <c r="B18" s="329">
        <v>3841</v>
      </c>
      <c r="C18" s="329">
        <f>B18*4</f>
        <v>15364</v>
      </c>
      <c r="D18" s="329">
        <v>306</v>
      </c>
      <c r="E18" s="329">
        <f>D18*152</f>
        <v>46512</v>
      </c>
      <c r="F18" s="329">
        <f>ت.كهربائيه1!C18+ت.كهربائيه1!E18+ت.كهربائيه1!G18+ت.كهربائيه1!I18+ت.كهربائيه2!C18+ت.كهربائيه2!E18</f>
        <v>2761448</v>
      </c>
      <c r="G18" s="335" t="s">
        <v>17</v>
      </c>
    </row>
    <row r="19" spans="1:10" s="166" customFormat="1" ht="15" customHeight="1">
      <c r="A19" s="285" t="s">
        <v>8</v>
      </c>
      <c r="B19" s="283">
        <v>2323</v>
      </c>
      <c r="C19" s="283">
        <f t="shared" ref="C19:C20" si="2">B19*4</f>
        <v>9292</v>
      </c>
      <c r="D19" s="283">
        <v>0</v>
      </c>
      <c r="E19" s="283">
        <f t="shared" si="1"/>
        <v>0</v>
      </c>
      <c r="F19" s="283">
        <f>ت.كهربائيه1!C19+ت.كهربائيه1!E19+ت.كهربائيه1!G19+ت.كهربائيه1!I19+ت.كهربائيه2!C19+ت.كهربائيه2!E19</f>
        <v>1640901</v>
      </c>
      <c r="G19" s="287" t="s">
        <v>18</v>
      </c>
    </row>
    <row r="20" spans="1:10" s="166" customFormat="1" ht="15" customHeight="1">
      <c r="A20" s="331" t="s">
        <v>9</v>
      </c>
      <c r="B20" s="329">
        <v>39</v>
      </c>
      <c r="C20" s="329">
        <f t="shared" si="2"/>
        <v>156</v>
      </c>
      <c r="D20" s="329">
        <v>0</v>
      </c>
      <c r="E20" s="329">
        <f>D20*140</f>
        <v>0</v>
      </c>
      <c r="F20" s="329">
        <f>ت.كهربائيه1!C20+ت.كهربائيه1!E20+ت.كهربائيه1!G20+ت.كهربائيه1!I20+ت.كهربائيه2!C20+ت.كهربائيه2!E20</f>
        <v>1355513</v>
      </c>
      <c r="G20" s="335" t="s">
        <v>19</v>
      </c>
    </row>
    <row r="21" spans="1:10" s="166" customFormat="1" ht="15" customHeight="1">
      <c r="A21" s="285" t="s">
        <v>10</v>
      </c>
      <c r="B21" s="283">
        <v>514</v>
      </c>
      <c r="C21" s="283">
        <f>B21*3</f>
        <v>1542</v>
      </c>
      <c r="D21" s="283">
        <v>0</v>
      </c>
      <c r="E21" s="283">
        <f t="shared" si="1"/>
        <v>0</v>
      </c>
      <c r="F21" s="283">
        <f>ت.كهربائيه1!C21+ت.كهربائيه1!E21+ت.كهربائيه1!G21+ت.كهربائيه1!I21+ت.كهربائيه2!C21+ت.كهربائيه2!E21</f>
        <v>764937</v>
      </c>
      <c r="G21" s="287" t="s">
        <v>20</v>
      </c>
    </row>
    <row r="22" spans="1:10" s="166" customFormat="1" ht="15" customHeight="1">
      <c r="A22" s="331" t="s">
        <v>12</v>
      </c>
      <c r="B22" s="329">
        <v>379</v>
      </c>
      <c r="C22" s="329">
        <f>B22*4</f>
        <v>1516</v>
      </c>
      <c r="D22" s="329">
        <v>0</v>
      </c>
      <c r="E22" s="329">
        <f t="shared" si="1"/>
        <v>0</v>
      </c>
      <c r="F22" s="329">
        <f>ت.كهربائيه1!C22+ت.كهربائيه1!E22+ت.كهربائيه1!G22+ت.كهربائيه1!I22+ت.كهربائيه2!C22+ت.كهربائيه2!E22</f>
        <v>293558</v>
      </c>
      <c r="G22" s="335" t="s">
        <v>24</v>
      </c>
    </row>
    <row r="23" spans="1:10" s="166" customFormat="1" ht="15" customHeight="1" thickBot="1">
      <c r="A23" s="473" t="s">
        <v>13</v>
      </c>
      <c r="B23" s="474">
        <v>1298</v>
      </c>
      <c r="C23" s="283">
        <f>B23*4</f>
        <v>5192</v>
      </c>
      <c r="D23" s="474">
        <v>0</v>
      </c>
      <c r="E23" s="283">
        <f t="shared" si="1"/>
        <v>0</v>
      </c>
      <c r="F23" s="283">
        <f>ت.كهربائيه1!C23+ت.كهربائيه1!E23+ت.كهربائيه1!G23+ت.كهربائيه1!I23+ت.كهربائيه2!C23+ت.كهربائيه2!E23</f>
        <v>3614014</v>
      </c>
      <c r="G23" s="480" t="s">
        <v>22</v>
      </c>
    </row>
    <row r="24" spans="1:10" s="239" customFormat="1" ht="16.5" customHeight="1" thickBot="1">
      <c r="A24" s="288" t="s">
        <v>0</v>
      </c>
      <c r="B24" s="289">
        <f>SUM(B9:B23)</f>
        <v>26853</v>
      </c>
      <c r="C24" s="289">
        <f t="shared" ref="C24:E24" si="3">SUM(C9:C23)</f>
        <v>106072</v>
      </c>
      <c r="D24" s="289">
        <f t="shared" si="3"/>
        <v>2212</v>
      </c>
      <c r="E24" s="289">
        <f t="shared" si="3"/>
        <v>336094</v>
      </c>
      <c r="F24" s="289">
        <f>SUM(F9:F23)</f>
        <v>25352996</v>
      </c>
      <c r="G24" s="290" t="s">
        <v>1</v>
      </c>
    </row>
    <row r="25" spans="1:10" s="110" customFormat="1" ht="16.5" customHeight="1">
      <c r="A25" s="932"/>
      <c r="B25" s="932"/>
      <c r="C25" s="932"/>
      <c r="D25" s="932"/>
      <c r="E25" s="932"/>
      <c r="F25" s="932"/>
      <c r="G25" s="932"/>
      <c r="H25" s="598"/>
      <c r="I25" s="598"/>
      <c r="J25" s="598"/>
    </row>
    <row r="26" spans="1:10" ht="13.8">
      <c r="A26" s="587"/>
      <c r="B26" s="587"/>
      <c r="C26" s="587"/>
      <c r="D26" s="587"/>
      <c r="E26" s="587"/>
      <c r="F26" s="587"/>
      <c r="G26" s="590"/>
      <c r="H26" s="587"/>
      <c r="I26" s="587"/>
      <c r="J26" s="587"/>
    </row>
    <row r="27" spans="1:10" ht="13.8">
      <c r="A27" s="953"/>
      <c r="B27" s="953"/>
      <c r="C27" s="587"/>
      <c r="D27" s="587"/>
      <c r="E27" s="587"/>
      <c r="F27" s="587"/>
      <c r="G27" s="591"/>
      <c r="H27" s="587"/>
      <c r="I27" s="587"/>
      <c r="J27" s="597"/>
    </row>
  </sheetData>
  <mergeCells count="6">
    <mergeCell ref="A27:B27"/>
    <mergeCell ref="A1:G1"/>
    <mergeCell ref="A2:G2"/>
    <mergeCell ref="A4:B4"/>
    <mergeCell ref="C4:D4"/>
    <mergeCell ref="A25:G25"/>
  </mergeCells>
  <phoneticPr fontId="3" type="noConversion"/>
  <printOptions horizontalCentered="1" verticalCentered="1"/>
  <pageMargins left="0.23622047244094491" right="0.35" top="1.3779527559055118" bottom="1.8110236220472442" header="0.19685039370078741" footer="0.78740157480314965"/>
  <pageSetup paperSize="9" scale="90" orientation="landscape" r:id="rId1"/>
  <headerFooter alignWithMargins="0"/>
  <ignoredErrors>
    <ignoredError sqref="E20" formula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</sheetPr>
  <dimension ref="A1:U27"/>
  <sheetViews>
    <sheetView rightToLeft="1" view="pageBreakPreview" zoomScale="93" zoomScaleNormal="80" zoomScaleSheetLayoutView="93" workbookViewId="0">
      <selection activeCell="A2" sqref="A2:L2"/>
    </sheetView>
  </sheetViews>
  <sheetFormatPr defaultRowHeight="13.2"/>
  <cols>
    <col min="1" max="1" width="9.44140625" customWidth="1"/>
    <col min="2" max="2" width="10.109375" bestFit="1" customWidth="1"/>
    <col min="3" max="3" width="12.44140625" bestFit="1" customWidth="1"/>
    <col min="4" max="4" width="8.44140625" bestFit="1" customWidth="1"/>
    <col min="5" max="5" width="12.44140625" bestFit="1" customWidth="1"/>
    <col min="6" max="6" width="10.109375" bestFit="1" customWidth="1"/>
    <col min="7" max="7" width="12.44140625" bestFit="1" customWidth="1"/>
    <col min="8" max="8" width="10.109375" bestFit="1" customWidth="1"/>
    <col min="9" max="9" width="11.33203125" bestFit="1" customWidth="1"/>
    <col min="10" max="10" width="10.109375" bestFit="1" customWidth="1"/>
    <col min="11" max="11" width="11.33203125" bestFit="1" customWidth="1"/>
    <col min="12" max="12" width="14.6640625" bestFit="1" customWidth="1"/>
    <col min="13" max="13" width="5.5546875" customWidth="1"/>
    <col min="14" max="14" width="8.5546875" customWidth="1"/>
    <col min="15" max="15" width="5.109375" customWidth="1"/>
    <col min="16" max="16" width="7.44140625" customWidth="1"/>
    <col min="17" max="17" width="9.44140625" customWidth="1"/>
    <col min="18" max="18" width="9" customWidth="1"/>
  </cols>
  <sheetData>
    <row r="1" spans="1:21" ht="13.8">
      <c r="A1" s="979" t="s">
        <v>455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  <c r="L1" s="979"/>
    </row>
    <row r="2" spans="1:21" ht="13.8">
      <c r="A2" s="980" t="s">
        <v>476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</row>
    <row r="3" spans="1:21" s="4" customFormat="1" ht="13.8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940" t="s">
        <v>193</v>
      </c>
      <c r="L3" s="940"/>
    </row>
    <row r="4" spans="1:21" s="2" customFormat="1" ht="18" customHeight="1" thickBot="1">
      <c r="A4" s="905" t="s">
        <v>405</v>
      </c>
      <c r="B4" s="905"/>
      <c r="C4" s="981" t="s">
        <v>161</v>
      </c>
      <c r="D4" s="981"/>
      <c r="E4" s="981"/>
      <c r="F4" s="16"/>
      <c r="G4" s="16"/>
      <c r="H4" s="972" t="s">
        <v>304</v>
      </c>
      <c r="I4" s="972"/>
      <c r="J4" s="972"/>
      <c r="K4" s="972"/>
      <c r="L4" s="100" t="s">
        <v>408</v>
      </c>
    </row>
    <row r="5" spans="1:21" s="2" customFormat="1" ht="15" customHeight="1">
      <c r="A5" s="26"/>
      <c r="B5" s="978" t="s">
        <v>223</v>
      </c>
      <c r="C5" s="978"/>
      <c r="D5" s="978" t="s">
        <v>222</v>
      </c>
      <c r="E5" s="978"/>
      <c r="F5" s="978" t="s">
        <v>220</v>
      </c>
      <c r="G5" s="978"/>
      <c r="H5" s="481" t="s">
        <v>52</v>
      </c>
      <c r="I5" s="108"/>
      <c r="J5" s="99" t="s">
        <v>44</v>
      </c>
      <c r="K5" s="99"/>
      <c r="L5" s="26"/>
      <c r="M5"/>
      <c r="N5"/>
      <c r="O5"/>
      <c r="P5"/>
      <c r="Q5"/>
      <c r="R5"/>
      <c r="S5"/>
      <c r="T5"/>
      <c r="U5"/>
    </row>
    <row r="6" spans="1:21" s="2" customFormat="1" ht="15" customHeight="1">
      <c r="A6" s="26"/>
      <c r="B6" s="977" t="s">
        <v>269</v>
      </c>
      <c r="C6" s="977"/>
      <c r="D6" s="978" t="s">
        <v>238</v>
      </c>
      <c r="E6" s="978"/>
      <c r="F6" s="977" t="s">
        <v>221</v>
      </c>
      <c r="G6" s="977"/>
      <c r="H6" s="40" t="s">
        <v>270</v>
      </c>
      <c r="I6" s="40"/>
      <c r="J6" s="101" t="s">
        <v>271</v>
      </c>
      <c r="K6" s="99"/>
      <c r="L6" s="26"/>
      <c r="M6"/>
      <c r="N6"/>
      <c r="O6"/>
      <c r="P6"/>
      <c r="Q6"/>
      <c r="R6"/>
      <c r="S6"/>
      <c r="T6"/>
      <c r="U6"/>
    </row>
    <row r="7" spans="1:21" s="181" customFormat="1" ht="15" customHeight="1">
      <c r="A7" s="212"/>
      <c r="B7" s="212" t="s">
        <v>26</v>
      </c>
      <c r="C7" s="212" t="s">
        <v>215</v>
      </c>
      <c r="D7" s="212" t="s">
        <v>26</v>
      </c>
      <c r="E7" s="213" t="s">
        <v>215</v>
      </c>
      <c r="F7" s="212" t="s">
        <v>26</v>
      </c>
      <c r="G7" s="212" t="s">
        <v>215</v>
      </c>
      <c r="H7" s="214" t="s">
        <v>26</v>
      </c>
      <c r="I7" s="214" t="s">
        <v>215</v>
      </c>
      <c r="J7" s="212" t="s">
        <v>26</v>
      </c>
      <c r="K7" s="212" t="s">
        <v>215</v>
      </c>
      <c r="L7" s="215"/>
    </row>
    <row r="8" spans="1:21" s="181" customFormat="1" ht="15" customHeight="1" thickBot="1">
      <c r="A8" s="208" t="s">
        <v>47</v>
      </c>
      <c r="B8" s="209" t="s">
        <v>120</v>
      </c>
      <c r="C8" s="209" t="s">
        <v>28</v>
      </c>
      <c r="D8" s="209" t="s">
        <v>120</v>
      </c>
      <c r="E8" s="209" t="s">
        <v>28</v>
      </c>
      <c r="F8" s="209" t="s">
        <v>120</v>
      </c>
      <c r="G8" s="209" t="s">
        <v>28</v>
      </c>
      <c r="H8" s="210" t="s">
        <v>120</v>
      </c>
      <c r="I8" s="210" t="s">
        <v>28</v>
      </c>
      <c r="J8" s="208" t="s">
        <v>120</v>
      </c>
      <c r="K8" s="208" t="s">
        <v>28</v>
      </c>
      <c r="L8" s="211" t="s">
        <v>25</v>
      </c>
    </row>
    <row r="9" spans="1:21" s="166" customFormat="1" ht="15" customHeight="1" thickTop="1">
      <c r="A9" s="282" t="s">
        <v>328</v>
      </c>
      <c r="B9" s="292">
        <v>553</v>
      </c>
      <c r="C9" s="292">
        <f>B9*47</f>
        <v>25991</v>
      </c>
      <c r="D9" s="292">
        <v>232</v>
      </c>
      <c r="E9" s="292">
        <v>78099</v>
      </c>
      <c r="F9" s="292">
        <v>974</v>
      </c>
      <c r="G9" s="292">
        <v>28100</v>
      </c>
      <c r="H9" s="293">
        <v>7</v>
      </c>
      <c r="I9" s="293">
        <f>H9*14</f>
        <v>98</v>
      </c>
      <c r="J9" s="292">
        <v>11</v>
      </c>
      <c r="K9" s="292">
        <f>J9*13</f>
        <v>143</v>
      </c>
      <c r="L9" s="287" t="s">
        <v>378</v>
      </c>
      <c r="M9" s="291"/>
    </row>
    <row r="10" spans="1:21" s="166" customFormat="1" ht="15" customHeight="1">
      <c r="A10" s="328" t="s">
        <v>29</v>
      </c>
      <c r="B10" s="333">
        <v>112</v>
      </c>
      <c r="C10" s="333">
        <f t="shared" ref="C10:C11" si="0">B10*47</f>
        <v>5264</v>
      </c>
      <c r="D10" s="333">
        <v>156</v>
      </c>
      <c r="E10" s="333">
        <f>D10*293</f>
        <v>45708</v>
      </c>
      <c r="F10" s="333">
        <v>366</v>
      </c>
      <c r="G10" s="333">
        <f>F10*26</f>
        <v>9516</v>
      </c>
      <c r="H10" s="334">
        <v>954</v>
      </c>
      <c r="I10" s="334">
        <f>H10*13</f>
        <v>12402</v>
      </c>
      <c r="J10" s="333">
        <v>94</v>
      </c>
      <c r="K10" s="333">
        <f t="shared" ref="K10:K11" si="1">J10*13</f>
        <v>1222</v>
      </c>
      <c r="L10" s="335" t="s">
        <v>30</v>
      </c>
      <c r="M10" s="291"/>
    </row>
    <row r="11" spans="1:21" s="166" customFormat="1" ht="15" customHeight="1">
      <c r="A11" s="285" t="s">
        <v>3</v>
      </c>
      <c r="B11" s="292">
        <v>44</v>
      </c>
      <c r="C11" s="292">
        <f t="shared" si="0"/>
        <v>2068</v>
      </c>
      <c r="D11" s="292">
        <v>312</v>
      </c>
      <c r="E11" s="292">
        <f t="shared" ref="E11:E14" si="2">D11*293</f>
        <v>91416</v>
      </c>
      <c r="F11" s="292">
        <v>71</v>
      </c>
      <c r="G11" s="292">
        <f t="shared" ref="G11:G15" si="3">F11*26</f>
        <v>1846</v>
      </c>
      <c r="H11" s="293">
        <v>80</v>
      </c>
      <c r="I11" s="293">
        <v>1219</v>
      </c>
      <c r="J11" s="292">
        <v>20</v>
      </c>
      <c r="K11" s="292">
        <f t="shared" si="1"/>
        <v>260</v>
      </c>
      <c r="L11" s="287" t="s">
        <v>15</v>
      </c>
      <c r="M11" s="291"/>
    </row>
    <row r="12" spans="1:21" s="166" customFormat="1" ht="15" customHeight="1">
      <c r="A12" s="328" t="s">
        <v>319</v>
      </c>
      <c r="B12" s="333">
        <v>717</v>
      </c>
      <c r="C12" s="333">
        <v>8178</v>
      </c>
      <c r="D12" s="333">
        <v>2</v>
      </c>
      <c r="E12" s="333">
        <f t="shared" si="2"/>
        <v>586</v>
      </c>
      <c r="F12" s="333">
        <v>15</v>
      </c>
      <c r="G12" s="333">
        <f t="shared" si="3"/>
        <v>390</v>
      </c>
      <c r="H12" s="334">
        <v>363</v>
      </c>
      <c r="I12" s="334">
        <v>5440</v>
      </c>
      <c r="J12" s="333">
        <v>90</v>
      </c>
      <c r="K12" s="333">
        <v>832</v>
      </c>
      <c r="L12" s="335" t="s">
        <v>315</v>
      </c>
      <c r="M12" s="291"/>
    </row>
    <row r="13" spans="1:21" s="166" customFormat="1" ht="15" customHeight="1">
      <c r="A13" s="285" t="s">
        <v>4</v>
      </c>
      <c r="B13" s="292">
        <v>650</v>
      </c>
      <c r="C13" s="292">
        <f>B13*47</f>
        <v>30550</v>
      </c>
      <c r="D13" s="292">
        <v>3191</v>
      </c>
      <c r="E13" s="292">
        <f t="shared" si="2"/>
        <v>934963</v>
      </c>
      <c r="F13" s="292">
        <v>1949</v>
      </c>
      <c r="G13" s="292">
        <f t="shared" si="3"/>
        <v>50674</v>
      </c>
      <c r="H13" s="293">
        <v>2482</v>
      </c>
      <c r="I13" s="293">
        <v>35056</v>
      </c>
      <c r="J13" s="292">
        <v>34125</v>
      </c>
      <c r="K13" s="292">
        <f>J13*13</f>
        <v>443625</v>
      </c>
      <c r="L13" s="287" t="s">
        <v>16</v>
      </c>
      <c r="M13" s="291"/>
    </row>
    <row r="14" spans="1:21" s="166" customFormat="1" ht="15" customHeight="1">
      <c r="A14" s="331" t="s">
        <v>5</v>
      </c>
      <c r="B14" s="333">
        <v>150</v>
      </c>
      <c r="C14" s="333">
        <f>B14*47</f>
        <v>7050</v>
      </c>
      <c r="D14" s="333">
        <v>258</v>
      </c>
      <c r="E14" s="333">
        <f t="shared" si="2"/>
        <v>75594</v>
      </c>
      <c r="F14" s="333">
        <v>155</v>
      </c>
      <c r="G14" s="333">
        <f t="shared" si="3"/>
        <v>4030</v>
      </c>
      <c r="H14" s="334">
        <v>263</v>
      </c>
      <c r="I14" s="334">
        <f>H14*13</f>
        <v>3419</v>
      </c>
      <c r="J14" s="333">
        <v>69</v>
      </c>
      <c r="K14" s="333">
        <f>J14*13</f>
        <v>897</v>
      </c>
      <c r="L14" s="335" t="s">
        <v>23</v>
      </c>
      <c r="M14" s="291"/>
    </row>
    <row r="15" spans="1:21" s="166" customFormat="1" ht="17.25" customHeight="1">
      <c r="A15" s="285" t="s">
        <v>6</v>
      </c>
      <c r="B15" s="292">
        <v>1297</v>
      </c>
      <c r="C15" s="292">
        <v>4901</v>
      </c>
      <c r="D15" s="292">
        <v>24</v>
      </c>
      <c r="E15" s="292">
        <v>7252</v>
      </c>
      <c r="F15" s="292">
        <v>165</v>
      </c>
      <c r="G15" s="292">
        <f t="shared" si="3"/>
        <v>4290</v>
      </c>
      <c r="H15" s="293">
        <v>161</v>
      </c>
      <c r="I15" s="293">
        <v>1372</v>
      </c>
      <c r="J15" s="292">
        <v>44</v>
      </c>
      <c r="K15" s="292">
        <f>J15*12</f>
        <v>528</v>
      </c>
      <c r="L15" s="287" t="s">
        <v>379</v>
      </c>
      <c r="M15" s="291"/>
    </row>
    <row r="16" spans="1:21" s="166" customFormat="1" ht="18.75" customHeight="1">
      <c r="A16" s="331" t="s">
        <v>11</v>
      </c>
      <c r="B16" s="333">
        <v>2</v>
      </c>
      <c r="C16" s="333">
        <f>B16*38</f>
        <v>76</v>
      </c>
      <c r="D16" s="333">
        <v>4</v>
      </c>
      <c r="E16" s="333">
        <f>D16*293</f>
        <v>1172</v>
      </c>
      <c r="F16" s="333">
        <v>37</v>
      </c>
      <c r="G16" s="333">
        <v>851</v>
      </c>
      <c r="H16" s="334">
        <v>84</v>
      </c>
      <c r="I16" s="334">
        <v>925</v>
      </c>
      <c r="J16" s="333">
        <v>8</v>
      </c>
      <c r="K16" s="333">
        <f>J16*13</f>
        <v>104</v>
      </c>
      <c r="L16" s="335" t="s">
        <v>21</v>
      </c>
      <c r="M16" s="291"/>
    </row>
    <row r="17" spans="1:13" s="166" customFormat="1" ht="15" customHeight="1">
      <c r="A17" s="285" t="s">
        <v>2</v>
      </c>
      <c r="B17" s="292">
        <v>35</v>
      </c>
      <c r="C17" s="292">
        <v>2025</v>
      </c>
      <c r="D17" s="292">
        <v>4</v>
      </c>
      <c r="E17" s="292">
        <f t="shared" ref="E17:E20" si="4">D17*293</f>
        <v>1172</v>
      </c>
      <c r="F17" s="292">
        <v>4</v>
      </c>
      <c r="G17" s="292">
        <f>F17*27</f>
        <v>108</v>
      </c>
      <c r="H17" s="293">
        <v>0</v>
      </c>
      <c r="I17" s="293">
        <v>0</v>
      </c>
      <c r="J17" s="292">
        <v>2</v>
      </c>
      <c r="K17" s="292">
        <f>J17*15</f>
        <v>30</v>
      </c>
      <c r="L17" s="294" t="s">
        <v>14</v>
      </c>
      <c r="M17" s="291"/>
    </row>
    <row r="18" spans="1:13" s="166" customFormat="1" ht="15" customHeight="1">
      <c r="A18" s="331" t="s">
        <v>7</v>
      </c>
      <c r="B18" s="333">
        <v>16</v>
      </c>
      <c r="C18" s="333">
        <v>404</v>
      </c>
      <c r="D18" s="333">
        <v>28</v>
      </c>
      <c r="E18" s="333">
        <f t="shared" si="4"/>
        <v>8204</v>
      </c>
      <c r="F18" s="333">
        <v>39</v>
      </c>
      <c r="G18" s="333">
        <v>633</v>
      </c>
      <c r="H18" s="334">
        <v>0</v>
      </c>
      <c r="I18" s="334">
        <v>0</v>
      </c>
      <c r="J18" s="333">
        <v>1559</v>
      </c>
      <c r="K18" s="333">
        <v>24139</v>
      </c>
      <c r="L18" s="335" t="s">
        <v>17</v>
      </c>
      <c r="M18" s="291"/>
    </row>
    <row r="19" spans="1:13" s="166" customFormat="1" ht="15" customHeight="1">
      <c r="A19" s="285" t="s">
        <v>8</v>
      </c>
      <c r="B19" s="292">
        <v>29</v>
      </c>
      <c r="C19" s="292">
        <f>B19*47</f>
        <v>1363</v>
      </c>
      <c r="D19" s="292">
        <v>21</v>
      </c>
      <c r="E19" s="292">
        <f t="shared" si="4"/>
        <v>6153</v>
      </c>
      <c r="F19" s="292">
        <v>342</v>
      </c>
      <c r="G19" s="292">
        <f>F19*26</f>
        <v>8892</v>
      </c>
      <c r="H19" s="293">
        <v>871</v>
      </c>
      <c r="I19" s="293">
        <v>8712</v>
      </c>
      <c r="J19" s="292">
        <v>163</v>
      </c>
      <c r="K19" s="292">
        <f>J19*13</f>
        <v>2119</v>
      </c>
      <c r="L19" s="287" t="s">
        <v>18</v>
      </c>
      <c r="M19" s="291"/>
    </row>
    <row r="20" spans="1:13" s="166" customFormat="1" ht="15" customHeight="1">
      <c r="A20" s="331" t="s">
        <v>9</v>
      </c>
      <c r="B20" s="333">
        <v>13</v>
      </c>
      <c r="C20" s="333">
        <f t="shared" ref="C20:C23" si="5">B20*47</f>
        <v>611</v>
      </c>
      <c r="D20" s="333">
        <v>0</v>
      </c>
      <c r="E20" s="333">
        <f t="shared" si="4"/>
        <v>0</v>
      </c>
      <c r="F20" s="333">
        <v>1</v>
      </c>
      <c r="G20" s="333">
        <f>F20*26</f>
        <v>26</v>
      </c>
      <c r="H20" s="334">
        <v>0</v>
      </c>
      <c r="I20" s="334">
        <v>0</v>
      </c>
      <c r="J20" s="333">
        <v>3</v>
      </c>
      <c r="K20" s="333">
        <f t="shared" ref="K20:K21" si="6">J20*13</f>
        <v>39</v>
      </c>
      <c r="L20" s="336" t="s">
        <v>19</v>
      </c>
      <c r="M20" s="291"/>
    </row>
    <row r="21" spans="1:13" s="166" customFormat="1" ht="15" customHeight="1">
      <c r="A21" s="285" t="s">
        <v>10</v>
      </c>
      <c r="B21" s="292">
        <v>25</v>
      </c>
      <c r="C21" s="292">
        <f t="shared" si="5"/>
        <v>1175</v>
      </c>
      <c r="D21" s="292">
        <v>29</v>
      </c>
      <c r="E21" s="292">
        <v>8862</v>
      </c>
      <c r="F21" s="292">
        <v>9</v>
      </c>
      <c r="G21" s="292">
        <f>F21*20</f>
        <v>180</v>
      </c>
      <c r="H21" s="293">
        <v>0</v>
      </c>
      <c r="I21" s="293">
        <v>0</v>
      </c>
      <c r="J21" s="292">
        <v>34</v>
      </c>
      <c r="K21" s="292">
        <f t="shared" si="6"/>
        <v>442</v>
      </c>
      <c r="L21" s="287" t="s">
        <v>20</v>
      </c>
      <c r="M21" s="291"/>
    </row>
    <row r="22" spans="1:13" s="166" customFormat="1" ht="12.75" customHeight="1">
      <c r="A22" s="331" t="s">
        <v>12</v>
      </c>
      <c r="B22" s="333">
        <v>212</v>
      </c>
      <c r="C22" s="333">
        <f t="shared" si="5"/>
        <v>9964</v>
      </c>
      <c r="D22" s="333">
        <v>25</v>
      </c>
      <c r="E22" s="333">
        <f>D22*293</f>
        <v>7325</v>
      </c>
      <c r="F22" s="333">
        <v>0</v>
      </c>
      <c r="G22" s="333">
        <f t="shared" ref="G22" si="7">F22*30</f>
        <v>0</v>
      </c>
      <c r="H22" s="334">
        <v>0</v>
      </c>
      <c r="I22" s="334">
        <v>0</v>
      </c>
      <c r="J22" s="333">
        <v>0</v>
      </c>
      <c r="K22" s="333">
        <v>0</v>
      </c>
      <c r="L22" s="335" t="s">
        <v>24</v>
      </c>
      <c r="M22" s="291"/>
    </row>
    <row r="23" spans="1:13" s="166" customFormat="1" ht="16.5" customHeight="1" thickBot="1">
      <c r="A23" s="473" t="s">
        <v>13</v>
      </c>
      <c r="B23" s="482">
        <v>66</v>
      </c>
      <c r="C23" s="292">
        <f t="shared" si="5"/>
        <v>3102</v>
      </c>
      <c r="D23" s="482">
        <v>47</v>
      </c>
      <c r="E23" s="292">
        <f>D23*293</f>
        <v>13771</v>
      </c>
      <c r="F23" s="482">
        <v>374</v>
      </c>
      <c r="G23" s="292">
        <v>9324</v>
      </c>
      <c r="H23" s="483">
        <v>0</v>
      </c>
      <c r="I23" s="293">
        <v>0</v>
      </c>
      <c r="J23" s="482">
        <v>155</v>
      </c>
      <c r="K23" s="292">
        <f>J23*13</f>
        <v>2015</v>
      </c>
      <c r="L23" s="480" t="s">
        <v>22</v>
      </c>
      <c r="M23" s="291"/>
    </row>
    <row r="24" spans="1:13" s="239" customFormat="1" ht="17.25" customHeight="1" thickBot="1">
      <c r="A24" s="295" t="s">
        <v>0</v>
      </c>
      <c r="B24" s="296">
        <f>SUM(B9:B23)</f>
        <v>3921</v>
      </c>
      <c r="C24" s="296">
        <f t="shared" ref="C24:K24" si="8">SUM(C9:C23)</f>
        <v>102722</v>
      </c>
      <c r="D24" s="296">
        <f t="shared" si="8"/>
        <v>4333</v>
      </c>
      <c r="E24" s="296">
        <f t="shared" si="8"/>
        <v>1280277</v>
      </c>
      <c r="F24" s="296">
        <f t="shared" si="8"/>
        <v>4501</v>
      </c>
      <c r="G24" s="296">
        <f t="shared" si="8"/>
        <v>118860</v>
      </c>
      <c r="H24" s="296">
        <f t="shared" si="8"/>
        <v>5265</v>
      </c>
      <c r="I24" s="296">
        <f t="shared" si="8"/>
        <v>68643</v>
      </c>
      <c r="J24" s="296">
        <f t="shared" si="8"/>
        <v>36377</v>
      </c>
      <c r="K24" s="296">
        <f t="shared" si="8"/>
        <v>476395</v>
      </c>
      <c r="L24" s="297" t="s">
        <v>1</v>
      </c>
    </row>
    <row r="25" spans="1:13" s="4" customFormat="1" ht="17.25" customHeight="1">
      <c r="A25" s="932"/>
      <c r="B25" s="932"/>
      <c r="C25" s="932"/>
      <c r="D25" s="932"/>
      <c r="E25" s="932"/>
      <c r="F25" s="932"/>
      <c r="G25" s="932"/>
      <c r="H25" s="932"/>
      <c r="I25" s="595"/>
      <c r="J25" s="595"/>
      <c r="K25" s="130"/>
      <c r="L25" s="131"/>
    </row>
    <row r="26" spans="1:13" ht="13.8">
      <c r="A26" s="587"/>
      <c r="B26" s="587"/>
      <c r="C26" s="587"/>
      <c r="D26" s="587"/>
      <c r="E26" s="587"/>
      <c r="F26" s="587"/>
      <c r="G26" s="587"/>
      <c r="H26" s="587"/>
      <c r="I26" s="587"/>
      <c r="J26" s="587"/>
      <c r="L26" s="127"/>
    </row>
    <row r="27" spans="1:13" ht="13.8">
      <c r="A27" s="953"/>
      <c r="B27" s="953"/>
      <c r="C27" s="587"/>
      <c r="D27" s="587"/>
      <c r="E27" s="587"/>
      <c r="F27" s="587"/>
      <c r="G27" s="587"/>
      <c r="H27" s="587"/>
      <c r="I27" s="587"/>
      <c r="J27" s="587"/>
      <c r="L27" s="34"/>
    </row>
  </sheetData>
  <mergeCells count="14">
    <mergeCell ref="A1:L1"/>
    <mergeCell ref="A2:L2"/>
    <mergeCell ref="B5:C5"/>
    <mergeCell ref="A4:B4"/>
    <mergeCell ref="H4:K4"/>
    <mergeCell ref="C4:E4"/>
    <mergeCell ref="D5:E5"/>
    <mergeCell ref="A25:H25"/>
    <mergeCell ref="K3:L3"/>
    <mergeCell ref="A27:B27"/>
    <mergeCell ref="B6:C6"/>
    <mergeCell ref="D6:E6"/>
    <mergeCell ref="F6:G6"/>
    <mergeCell ref="F5:G5"/>
  </mergeCells>
  <phoneticPr fontId="3" type="noConversion"/>
  <printOptions horizontalCentered="1" verticalCentered="1"/>
  <pageMargins left="0.23622047244094491" right="0.23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K60"/>
  <sheetViews>
    <sheetView rightToLeft="1" view="pageBreakPreview" zoomScaleNormal="80" zoomScaleSheetLayoutView="100" workbookViewId="0">
      <selection activeCell="A2" sqref="A2:J2"/>
    </sheetView>
  </sheetViews>
  <sheetFormatPr defaultRowHeight="13.2"/>
  <cols>
    <col min="1" max="1" width="10.88671875" customWidth="1"/>
    <col min="2" max="2" width="13.88671875" customWidth="1"/>
    <col min="3" max="3" width="12.6640625" customWidth="1"/>
    <col min="4" max="4" width="12" customWidth="1"/>
    <col min="5" max="5" width="13.109375" bestFit="1" customWidth="1"/>
    <col min="6" max="6" width="11.109375" customWidth="1"/>
    <col min="7" max="7" width="12" customWidth="1"/>
    <col min="8" max="8" width="10.33203125" customWidth="1"/>
    <col min="9" max="9" width="10.109375" bestFit="1" customWidth="1"/>
    <col min="10" max="10" width="16.5546875" customWidth="1"/>
    <col min="11" max="11" width="20" customWidth="1"/>
  </cols>
  <sheetData>
    <row r="1" spans="1:11" ht="13.8">
      <c r="A1" s="983" t="s">
        <v>455</v>
      </c>
      <c r="B1" s="983"/>
      <c r="C1" s="983"/>
      <c r="D1" s="983"/>
      <c r="E1" s="983"/>
      <c r="F1" s="983"/>
      <c r="G1" s="983"/>
      <c r="H1" s="983"/>
      <c r="I1" s="983"/>
      <c r="J1" s="983"/>
    </row>
    <row r="2" spans="1:11" s="4" customFormat="1" ht="13.8">
      <c r="A2" s="962" t="s">
        <v>476</v>
      </c>
      <c r="B2" s="962"/>
      <c r="C2" s="962"/>
      <c r="D2" s="962"/>
      <c r="E2" s="962"/>
      <c r="F2" s="962"/>
      <c r="G2" s="962"/>
      <c r="H2" s="962"/>
      <c r="I2" s="962"/>
      <c r="J2" s="962"/>
    </row>
    <row r="3" spans="1:11" ht="13.8">
      <c r="I3" s="940" t="s">
        <v>193</v>
      </c>
      <c r="J3" s="940"/>
    </row>
    <row r="4" spans="1:11" ht="21" customHeight="1" thickBot="1">
      <c r="A4" s="905" t="s">
        <v>405</v>
      </c>
      <c r="B4" s="905"/>
      <c r="C4" s="985" t="s">
        <v>182</v>
      </c>
      <c r="D4" s="985"/>
      <c r="E4" s="985"/>
      <c r="F4" s="11"/>
      <c r="G4" s="11"/>
      <c r="H4" s="984"/>
      <c r="I4" s="984"/>
      <c r="J4" s="150" t="s">
        <v>408</v>
      </c>
    </row>
    <row r="5" spans="1:11" ht="29.25" customHeight="1">
      <c r="A5" s="103"/>
      <c r="B5" s="105" t="s">
        <v>31</v>
      </c>
      <c r="C5" s="103"/>
      <c r="D5" s="105" t="s">
        <v>54</v>
      </c>
      <c r="E5" s="103"/>
      <c r="F5" s="986" t="s">
        <v>38</v>
      </c>
      <c r="G5" s="986"/>
      <c r="H5" s="105" t="s">
        <v>356</v>
      </c>
      <c r="I5" s="103"/>
      <c r="J5" s="104"/>
    </row>
    <row r="6" spans="1:11" ht="27" customHeight="1">
      <c r="A6" s="83"/>
      <c r="B6" s="83" t="s">
        <v>266</v>
      </c>
      <c r="C6" s="83"/>
      <c r="D6" s="83" t="s">
        <v>272</v>
      </c>
      <c r="E6" s="83"/>
      <c r="F6" s="885" t="s">
        <v>305</v>
      </c>
      <c r="G6" s="885"/>
      <c r="H6" s="83" t="s">
        <v>158</v>
      </c>
      <c r="I6" s="83"/>
      <c r="J6" s="102"/>
    </row>
    <row r="7" spans="1:11" ht="15" customHeight="1">
      <c r="A7" s="219"/>
      <c r="B7" s="220" t="s">
        <v>39</v>
      </c>
      <c r="C7" s="220" t="s">
        <v>215</v>
      </c>
      <c r="D7" s="220" t="s">
        <v>39</v>
      </c>
      <c r="E7" s="220" t="s">
        <v>215</v>
      </c>
      <c r="F7" s="220" t="s">
        <v>39</v>
      </c>
      <c r="G7" s="220" t="s">
        <v>215</v>
      </c>
      <c r="H7" s="220" t="s">
        <v>64</v>
      </c>
      <c r="I7" s="220" t="s">
        <v>215</v>
      </c>
      <c r="J7" s="41"/>
    </row>
    <row r="8" spans="1:11" s="484" customFormat="1" ht="15" customHeight="1" thickBot="1">
      <c r="A8" s="485" t="s">
        <v>51</v>
      </c>
      <c r="B8" s="486" t="s">
        <v>40</v>
      </c>
      <c r="C8" s="486" t="s">
        <v>28</v>
      </c>
      <c r="D8" s="486" t="s">
        <v>40</v>
      </c>
      <c r="E8" s="486" t="s">
        <v>28</v>
      </c>
      <c r="F8" s="486" t="s">
        <v>40</v>
      </c>
      <c r="G8" s="486" t="s">
        <v>28</v>
      </c>
      <c r="H8" s="486" t="s">
        <v>177</v>
      </c>
      <c r="I8" s="486" t="s">
        <v>28</v>
      </c>
      <c r="J8" s="486" t="s">
        <v>25</v>
      </c>
    </row>
    <row r="9" spans="1:11" s="239" customFormat="1" ht="15" customHeight="1" thickTop="1">
      <c r="A9" s="298" t="s">
        <v>328</v>
      </c>
      <c r="B9" s="292">
        <v>79713</v>
      </c>
      <c r="C9" s="292">
        <v>613034</v>
      </c>
      <c r="D9" s="292">
        <v>6117</v>
      </c>
      <c r="E9" s="292">
        <f>D9*62</f>
        <v>379254</v>
      </c>
      <c r="F9" s="292">
        <v>973</v>
      </c>
      <c r="G9" s="292">
        <f>F9*9</f>
        <v>8757</v>
      </c>
      <c r="H9" s="293">
        <v>5460</v>
      </c>
      <c r="I9" s="293">
        <v>718470</v>
      </c>
      <c r="J9" s="299" t="s">
        <v>378</v>
      </c>
      <c r="K9" s="304"/>
    </row>
    <row r="10" spans="1:11" s="166" customFormat="1" ht="15" customHeight="1">
      <c r="A10" s="337" t="s">
        <v>29</v>
      </c>
      <c r="B10" s="333">
        <v>112398</v>
      </c>
      <c r="C10" s="333">
        <f>B10*4</f>
        <v>449592</v>
      </c>
      <c r="D10" s="333">
        <v>778</v>
      </c>
      <c r="E10" s="333">
        <f t="shared" ref="E10:E11" si="0">D10*62</f>
        <v>48236</v>
      </c>
      <c r="F10" s="333">
        <v>2934</v>
      </c>
      <c r="G10" s="333">
        <f>F10*5</f>
        <v>14670</v>
      </c>
      <c r="H10" s="334">
        <v>1527</v>
      </c>
      <c r="I10" s="334">
        <f>H10*128</f>
        <v>195456</v>
      </c>
      <c r="J10" s="338" t="s">
        <v>30</v>
      </c>
      <c r="K10" s="291"/>
    </row>
    <row r="11" spans="1:11" s="166" customFormat="1" ht="15" customHeight="1">
      <c r="A11" s="298" t="s">
        <v>3</v>
      </c>
      <c r="B11" s="292">
        <v>179418</v>
      </c>
      <c r="C11" s="292">
        <v>443547</v>
      </c>
      <c r="D11" s="292">
        <v>7</v>
      </c>
      <c r="E11" s="292">
        <f t="shared" si="0"/>
        <v>434</v>
      </c>
      <c r="F11" s="292">
        <v>7655</v>
      </c>
      <c r="G11" s="292">
        <f>F11*4</f>
        <v>30620</v>
      </c>
      <c r="H11" s="293">
        <v>1359</v>
      </c>
      <c r="I11" s="293">
        <f>H11*128</f>
        <v>173952</v>
      </c>
      <c r="J11" s="299" t="s">
        <v>15</v>
      </c>
      <c r="K11" s="291"/>
    </row>
    <row r="12" spans="1:11" s="166" customFormat="1" ht="15" customHeight="1">
      <c r="A12" s="339" t="s">
        <v>319</v>
      </c>
      <c r="B12" s="333">
        <v>189370</v>
      </c>
      <c r="C12" s="333">
        <v>981285</v>
      </c>
      <c r="D12" s="333">
        <v>415</v>
      </c>
      <c r="E12" s="333">
        <v>25939</v>
      </c>
      <c r="F12" s="333">
        <v>0</v>
      </c>
      <c r="G12" s="333">
        <v>0</v>
      </c>
      <c r="H12" s="334">
        <v>7699</v>
      </c>
      <c r="I12" s="334">
        <v>972625</v>
      </c>
      <c r="J12" s="338" t="s">
        <v>315</v>
      </c>
      <c r="K12" s="291"/>
    </row>
    <row r="13" spans="1:11" s="166" customFormat="1" ht="15" customHeight="1">
      <c r="A13" s="298" t="s">
        <v>4</v>
      </c>
      <c r="B13" s="292">
        <v>176875</v>
      </c>
      <c r="C13" s="292">
        <v>695390</v>
      </c>
      <c r="D13" s="292">
        <v>9587</v>
      </c>
      <c r="E13" s="292">
        <f>D13*62</f>
        <v>594394</v>
      </c>
      <c r="F13" s="292">
        <v>18054</v>
      </c>
      <c r="G13" s="292">
        <f>F13*5</f>
        <v>90270</v>
      </c>
      <c r="H13" s="293">
        <v>7010</v>
      </c>
      <c r="I13" s="293">
        <f>H13*128</f>
        <v>897280</v>
      </c>
      <c r="J13" s="299" t="s">
        <v>16</v>
      </c>
      <c r="K13" s="291"/>
    </row>
    <row r="14" spans="1:11" s="166" customFormat="1" ht="15" customHeight="1">
      <c r="A14" s="337" t="s">
        <v>5</v>
      </c>
      <c r="B14" s="333">
        <v>198093</v>
      </c>
      <c r="C14" s="333">
        <f>B14*4</f>
        <v>792372</v>
      </c>
      <c r="D14" s="333">
        <v>218</v>
      </c>
      <c r="E14" s="333">
        <f t="shared" ref="E14:E23" si="1">D14*62</f>
        <v>13516</v>
      </c>
      <c r="F14" s="333">
        <v>5991</v>
      </c>
      <c r="G14" s="333">
        <f>F14*5</f>
        <v>29955</v>
      </c>
      <c r="H14" s="334">
        <v>1430</v>
      </c>
      <c r="I14" s="334">
        <f t="shared" ref="I14:I23" si="2">H14*128</f>
        <v>183040</v>
      </c>
      <c r="J14" s="338" t="s">
        <v>23</v>
      </c>
      <c r="K14" s="291"/>
    </row>
    <row r="15" spans="1:11" s="166" customFormat="1" ht="15" customHeight="1">
      <c r="A15" s="298" t="s">
        <v>6</v>
      </c>
      <c r="B15" s="292">
        <v>177152</v>
      </c>
      <c r="C15" s="292">
        <v>878785</v>
      </c>
      <c r="D15" s="292">
        <v>247</v>
      </c>
      <c r="E15" s="292">
        <f t="shared" si="1"/>
        <v>15314</v>
      </c>
      <c r="F15" s="292">
        <v>20738</v>
      </c>
      <c r="G15" s="292">
        <f>F15*7</f>
        <v>145166</v>
      </c>
      <c r="H15" s="293">
        <v>873</v>
      </c>
      <c r="I15" s="293">
        <f t="shared" si="2"/>
        <v>111744</v>
      </c>
      <c r="J15" s="299" t="s">
        <v>379</v>
      </c>
      <c r="K15" s="291"/>
    </row>
    <row r="16" spans="1:11" s="166" customFormat="1" ht="15" customHeight="1">
      <c r="A16" s="337" t="s">
        <v>11</v>
      </c>
      <c r="B16" s="333">
        <v>176769</v>
      </c>
      <c r="C16" s="333">
        <v>424239</v>
      </c>
      <c r="D16" s="333">
        <v>192</v>
      </c>
      <c r="E16" s="333">
        <f t="shared" si="1"/>
        <v>11904</v>
      </c>
      <c r="F16" s="333">
        <v>11556</v>
      </c>
      <c r="G16" s="333">
        <f>F16*2</f>
        <v>23112</v>
      </c>
      <c r="H16" s="334">
        <v>1146</v>
      </c>
      <c r="I16" s="334">
        <f t="shared" si="2"/>
        <v>146688</v>
      </c>
      <c r="J16" s="338" t="s">
        <v>21</v>
      </c>
      <c r="K16" s="291"/>
    </row>
    <row r="17" spans="1:11" s="166" customFormat="1" ht="15" customHeight="1">
      <c r="A17" s="298" t="s">
        <v>2</v>
      </c>
      <c r="B17" s="292">
        <v>67939</v>
      </c>
      <c r="C17" s="292">
        <v>209859</v>
      </c>
      <c r="D17" s="292">
        <v>182</v>
      </c>
      <c r="E17" s="292">
        <f t="shared" si="1"/>
        <v>11284</v>
      </c>
      <c r="F17" s="292">
        <v>1902</v>
      </c>
      <c r="G17" s="292">
        <f>F17*6</f>
        <v>11412</v>
      </c>
      <c r="H17" s="293">
        <v>247</v>
      </c>
      <c r="I17" s="293">
        <f t="shared" si="2"/>
        <v>31616</v>
      </c>
      <c r="J17" s="299" t="s">
        <v>14</v>
      </c>
      <c r="K17" s="291"/>
    </row>
    <row r="18" spans="1:11" s="166" customFormat="1" ht="15" customHeight="1">
      <c r="A18" s="337" t="s">
        <v>7</v>
      </c>
      <c r="B18" s="333">
        <v>177294</v>
      </c>
      <c r="C18" s="774">
        <v>288367</v>
      </c>
      <c r="D18" s="333">
        <v>3038</v>
      </c>
      <c r="E18" s="333">
        <f t="shared" si="1"/>
        <v>188356</v>
      </c>
      <c r="F18" s="333">
        <v>18304</v>
      </c>
      <c r="G18" s="333">
        <f>F18*6</f>
        <v>109824</v>
      </c>
      <c r="H18" s="334">
        <v>3886</v>
      </c>
      <c r="I18" s="334">
        <f t="shared" si="2"/>
        <v>497408</v>
      </c>
      <c r="J18" s="338" t="s">
        <v>17</v>
      </c>
      <c r="K18" s="291"/>
    </row>
    <row r="19" spans="1:11" s="166" customFormat="1" ht="15" customHeight="1">
      <c r="A19" s="298" t="s">
        <v>8</v>
      </c>
      <c r="B19" s="292">
        <v>238878</v>
      </c>
      <c r="C19" s="292">
        <f>B19*4</f>
        <v>955512</v>
      </c>
      <c r="D19" s="292">
        <v>277</v>
      </c>
      <c r="E19" s="292">
        <f t="shared" si="1"/>
        <v>17174</v>
      </c>
      <c r="F19" s="292">
        <v>33874</v>
      </c>
      <c r="G19" s="292">
        <f>F19*2</f>
        <v>67748</v>
      </c>
      <c r="H19" s="293">
        <v>8807</v>
      </c>
      <c r="I19" s="293">
        <f t="shared" si="2"/>
        <v>1127296</v>
      </c>
      <c r="J19" s="299" t="s">
        <v>18</v>
      </c>
      <c r="K19" s="291"/>
    </row>
    <row r="20" spans="1:11" s="166" customFormat="1" ht="15" customHeight="1">
      <c r="A20" s="337" t="s">
        <v>9</v>
      </c>
      <c r="B20" s="333">
        <v>144852</v>
      </c>
      <c r="C20" s="333">
        <v>461157</v>
      </c>
      <c r="D20" s="333">
        <v>1621</v>
      </c>
      <c r="E20" s="333">
        <f t="shared" si="1"/>
        <v>100502</v>
      </c>
      <c r="F20" s="333">
        <v>2004</v>
      </c>
      <c r="G20" s="333">
        <f>F20*3</f>
        <v>6012</v>
      </c>
      <c r="H20" s="334">
        <v>1045</v>
      </c>
      <c r="I20" s="334">
        <f t="shared" si="2"/>
        <v>133760</v>
      </c>
      <c r="J20" s="338" t="s">
        <v>19</v>
      </c>
      <c r="K20" s="291"/>
    </row>
    <row r="21" spans="1:11" s="166" customFormat="1" ht="15" customHeight="1">
      <c r="A21" s="298" t="s">
        <v>10</v>
      </c>
      <c r="B21" s="292">
        <v>79285</v>
      </c>
      <c r="C21" s="292">
        <v>207126</v>
      </c>
      <c r="D21" s="292">
        <v>234</v>
      </c>
      <c r="E21" s="292">
        <f t="shared" si="1"/>
        <v>14508</v>
      </c>
      <c r="F21" s="292">
        <v>59772</v>
      </c>
      <c r="G21" s="292">
        <f>F21*3</f>
        <v>179316</v>
      </c>
      <c r="H21" s="293">
        <v>837</v>
      </c>
      <c r="I21" s="293">
        <f t="shared" si="2"/>
        <v>107136</v>
      </c>
      <c r="J21" s="299" t="s">
        <v>20</v>
      </c>
      <c r="K21" s="291"/>
    </row>
    <row r="22" spans="1:11" s="166" customFormat="1" ht="15" customHeight="1">
      <c r="A22" s="337" t="s">
        <v>12</v>
      </c>
      <c r="B22" s="333">
        <v>10409</v>
      </c>
      <c r="C22" s="333">
        <v>35096</v>
      </c>
      <c r="D22" s="333">
        <v>9</v>
      </c>
      <c r="E22" s="333">
        <f t="shared" si="1"/>
        <v>558</v>
      </c>
      <c r="F22" s="333">
        <v>35197</v>
      </c>
      <c r="G22" s="333">
        <f>F22*2.5</f>
        <v>87992.5</v>
      </c>
      <c r="H22" s="334">
        <v>630</v>
      </c>
      <c r="I22" s="334">
        <f t="shared" si="2"/>
        <v>80640</v>
      </c>
      <c r="J22" s="338" t="s">
        <v>24</v>
      </c>
      <c r="K22" s="291"/>
    </row>
    <row r="23" spans="1:11" s="166" customFormat="1" ht="15" customHeight="1" thickBot="1">
      <c r="A23" s="298" t="s">
        <v>13</v>
      </c>
      <c r="B23" s="292">
        <v>96800</v>
      </c>
      <c r="C23" s="292">
        <v>430604</v>
      </c>
      <c r="D23" s="292">
        <v>1022</v>
      </c>
      <c r="E23" s="292">
        <f t="shared" si="1"/>
        <v>63364</v>
      </c>
      <c r="F23" s="292">
        <v>5764</v>
      </c>
      <c r="G23" s="292">
        <f>F23*4</f>
        <v>23056</v>
      </c>
      <c r="H23" s="293">
        <v>4024</v>
      </c>
      <c r="I23" s="293">
        <f t="shared" si="2"/>
        <v>515072</v>
      </c>
      <c r="J23" s="300" t="s">
        <v>22</v>
      </c>
      <c r="K23" s="291"/>
    </row>
    <row r="24" spans="1:11" s="166" customFormat="1" ht="15.75" customHeight="1" thickBot="1">
      <c r="A24" s="301" t="s">
        <v>0</v>
      </c>
      <c r="B24" s="302">
        <f>SUM(B9:B23)</f>
        <v>2105245</v>
      </c>
      <c r="C24" s="302">
        <f t="shared" ref="C24:I24" si="3">SUM(C9:C23)</f>
        <v>7865965</v>
      </c>
      <c r="D24" s="302">
        <f t="shared" si="3"/>
        <v>23944</v>
      </c>
      <c r="E24" s="302">
        <f t="shared" si="3"/>
        <v>1484737</v>
      </c>
      <c r="F24" s="302">
        <f t="shared" si="3"/>
        <v>224718</v>
      </c>
      <c r="G24" s="302">
        <f t="shared" si="3"/>
        <v>827910.5</v>
      </c>
      <c r="H24" s="302">
        <f t="shared" si="3"/>
        <v>45980</v>
      </c>
      <c r="I24" s="302">
        <f t="shared" si="3"/>
        <v>5892183</v>
      </c>
      <c r="J24" s="303" t="s">
        <v>1</v>
      </c>
    </row>
    <row r="25" spans="1:11" s="4" customFormat="1" ht="15.75" customHeight="1" thickTop="1">
      <c r="A25" s="932"/>
      <c r="B25" s="932"/>
      <c r="C25" s="932"/>
      <c r="D25" s="932"/>
      <c r="E25" s="932"/>
      <c r="F25" s="932"/>
      <c r="G25" s="932"/>
      <c r="H25" s="932"/>
      <c r="I25" s="595"/>
      <c r="J25" s="596"/>
    </row>
    <row r="26" spans="1:11" ht="13.8">
      <c r="A26" s="587"/>
      <c r="B26" s="587"/>
      <c r="C26" s="587"/>
      <c r="D26" s="587"/>
      <c r="E26" s="587"/>
      <c r="F26" s="587"/>
      <c r="G26" s="587"/>
      <c r="H26" s="587"/>
      <c r="I26" s="587"/>
      <c r="J26" s="590"/>
    </row>
    <row r="27" spans="1:11" ht="13.8">
      <c r="A27" s="982"/>
      <c r="B27" s="982"/>
      <c r="C27" s="597"/>
      <c r="D27" s="597"/>
      <c r="E27" s="597"/>
      <c r="F27" s="597"/>
      <c r="G27" s="597"/>
      <c r="H27" s="597"/>
      <c r="I27" s="954"/>
      <c r="J27" s="954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1">
      <c r="A29" s="2"/>
      <c r="B29" s="2"/>
      <c r="C29" s="2"/>
      <c r="D29" s="2"/>
      <c r="E29" s="415"/>
      <c r="F29" s="2"/>
      <c r="G29" s="2"/>
      <c r="H29" s="2"/>
      <c r="I29" s="2"/>
      <c r="J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47" spans="1:10">
      <c r="B47" s="3"/>
      <c r="E47" s="3"/>
    </row>
    <row r="48" spans="1:10">
      <c r="B48" s="3"/>
      <c r="E48" s="3"/>
    </row>
    <row r="49" spans="2:5">
      <c r="B49" s="3"/>
      <c r="E49" s="3"/>
    </row>
    <row r="50" spans="2:5">
      <c r="B50" s="3"/>
      <c r="E50" s="3"/>
    </row>
    <row r="51" spans="2:5">
      <c r="B51" s="3"/>
      <c r="E51" s="3"/>
    </row>
    <row r="52" spans="2:5">
      <c r="B52" s="3"/>
      <c r="E52" s="3"/>
    </row>
    <row r="53" spans="2:5">
      <c r="B53" s="3"/>
      <c r="E53" s="3"/>
    </row>
    <row r="54" spans="2:5">
      <c r="B54" s="3"/>
      <c r="E54" s="3"/>
    </row>
    <row r="55" spans="2:5">
      <c r="B55" s="3"/>
      <c r="E55" s="3"/>
    </row>
    <row r="56" spans="2:5">
      <c r="B56" s="3"/>
      <c r="E56" s="3"/>
    </row>
    <row r="57" spans="2:5">
      <c r="B57" s="3"/>
      <c r="E57" s="3"/>
    </row>
    <row r="58" spans="2:5">
      <c r="B58" s="3"/>
      <c r="E58" s="3"/>
    </row>
    <row r="59" spans="2:5">
      <c r="B59" s="3"/>
      <c r="E59" s="3"/>
    </row>
    <row r="60" spans="2:5">
      <c r="B60" s="3"/>
      <c r="E60" s="3"/>
    </row>
  </sheetData>
  <mergeCells count="11">
    <mergeCell ref="I3:J3"/>
    <mergeCell ref="A27:B27"/>
    <mergeCell ref="I27:J27"/>
    <mergeCell ref="A1:J1"/>
    <mergeCell ref="A2:J2"/>
    <mergeCell ref="H4:I4"/>
    <mergeCell ref="C4:E4"/>
    <mergeCell ref="A4:B4"/>
    <mergeCell ref="F6:G6"/>
    <mergeCell ref="F5:G5"/>
    <mergeCell ref="A25:H25"/>
  </mergeCells>
  <phoneticPr fontId="3" type="noConversion"/>
  <printOptions horizontalCentered="1" verticalCentered="1"/>
  <pageMargins left="0.23622047244094491" right="0.25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K27"/>
  <sheetViews>
    <sheetView rightToLeft="1" view="pageBreakPreview" zoomScale="91" zoomScaleNormal="80" zoomScaleSheetLayoutView="91" workbookViewId="0">
      <selection activeCell="A2" sqref="A2:I2"/>
    </sheetView>
  </sheetViews>
  <sheetFormatPr defaultRowHeight="13.2"/>
  <cols>
    <col min="1" max="1" width="10.5546875" customWidth="1"/>
    <col min="2" max="2" width="10.109375" bestFit="1" customWidth="1"/>
    <col min="3" max="3" width="12.5546875" customWidth="1"/>
    <col min="4" max="4" width="10.109375" bestFit="1" customWidth="1"/>
    <col min="5" max="5" width="14.33203125" bestFit="1" customWidth="1"/>
    <col min="6" max="6" width="10.109375" bestFit="1" customWidth="1"/>
    <col min="7" max="7" width="15.33203125" customWidth="1"/>
    <col min="8" max="8" width="14" customWidth="1"/>
    <col min="9" max="9" width="16.33203125" customWidth="1"/>
    <col min="10" max="10" width="7.44140625" customWidth="1"/>
    <col min="11" max="11" width="8.109375" customWidth="1"/>
  </cols>
  <sheetData>
    <row r="1" spans="1:10" ht="15" customHeight="1">
      <c r="A1" s="987" t="s">
        <v>455</v>
      </c>
      <c r="B1" s="987"/>
      <c r="C1" s="987"/>
      <c r="D1" s="987"/>
      <c r="E1" s="987"/>
      <c r="F1" s="987"/>
      <c r="G1" s="987"/>
      <c r="H1" s="987"/>
      <c r="I1" s="987"/>
    </row>
    <row r="2" spans="1:10" ht="12.75" customHeight="1">
      <c r="A2" s="988" t="s">
        <v>477</v>
      </c>
      <c r="B2" s="988"/>
      <c r="C2" s="988"/>
      <c r="D2" s="988"/>
      <c r="E2" s="988"/>
      <c r="F2" s="988"/>
      <c r="G2" s="988"/>
      <c r="H2" s="988"/>
      <c r="I2" s="988"/>
    </row>
    <row r="3" spans="1:10" s="4" customFormat="1" ht="12.75" customHeight="1">
      <c r="A3" s="143"/>
      <c r="B3" s="143"/>
      <c r="C3" s="143"/>
      <c r="D3" s="143"/>
      <c r="E3" s="143"/>
      <c r="F3" s="143"/>
      <c r="G3" s="143"/>
      <c r="H3" s="940" t="s">
        <v>193</v>
      </c>
      <c r="I3" s="940"/>
    </row>
    <row r="4" spans="1:10" ht="17.25" customHeight="1" thickBot="1">
      <c r="A4" s="905" t="s">
        <v>405</v>
      </c>
      <c r="B4" s="905"/>
      <c r="C4" s="989" t="s">
        <v>162</v>
      </c>
      <c r="D4" s="989"/>
      <c r="E4" s="106"/>
      <c r="F4" s="972" t="s">
        <v>304</v>
      </c>
      <c r="G4" s="972"/>
      <c r="H4" s="972"/>
      <c r="I4" s="107" t="s">
        <v>408</v>
      </c>
    </row>
    <row r="5" spans="1:10" ht="15" customHeight="1">
      <c r="A5" s="23"/>
      <c r="B5" s="117" t="s">
        <v>32</v>
      </c>
      <c r="C5" s="116"/>
      <c r="D5" s="990" t="s">
        <v>33</v>
      </c>
      <c r="E5" s="990"/>
      <c r="F5" s="990" t="s">
        <v>53</v>
      </c>
      <c r="G5" s="990"/>
      <c r="H5" s="407" t="s">
        <v>368</v>
      </c>
      <c r="I5" s="23"/>
    </row>
    <row r="6" spans="1:10" ht="15" customHeight="1">
      <c r="A6" s="26"/>
      <c r="B6" s="108" t="s">
        <v>239</v>
      </c>
      <c r="C6" s="108"/>
      <c r="D6" s="991" t="s">
        <v>273</v>
      </c>
      <c r="E6" s="991"/>
      <c r="F6" s="887" t="s">
        <v>156</v>
      </c>
      <c r="G6" s="887"/>
      <c r="H6" s="406" t="s">
        <v>1</v>
      </c>
      <c r="I6" s="26"/>
    </row>
    <row r="7" spans="1:10" ht="15" customHeight="1">
      <c r="A7" s="221"/>
      <c r="B7" s="222" t="s">
        <v>26</v>
      </c>
      <c r="C7" s="223" t="s">
        <v>215</v>
      </c>
      <c r="D7" s="223" t="s">
        <v>26</v>
      </c>
      <c r="E7" s="223" t="s">
        <v>215</v>
      </c>
      <c r="F7" s="223" t="s">
        <v>26</v>
      </c>
      <c r="G7" s="223" t="s">
        <v>215</v>
      </c>
      <c r="H7" s="222" t="s">
        <v>215</v>
      </c>
      <c r="I7" s="108"/>
    </row>
    <row r="8" spans="1:10" s="2" customFormat="1" ht="15" customHeight="1" thickBot="1">
      <c r="A8" s="487" t="s">
        <v>51</v>
      </c>
      <c r="B8" s="488" t="s">
        <v>120</v>
      </c>
      <c r="C8" s="488" t="s">
        <v>28</v>
      </c>
      <c r="D8" s="488" t="s">
        <v>120</v>
      </c>
      <c r="E8" s="488" t="s">
        <v>28</v>
      </c>
      <c r="F8" s="488" t="s">
        <v>120</v>
      </c>
      <c r="G8" s="488" t="s">
        <v>28</v>
      </c>
      <c r="H8" s="488" t="s">
        <v>28</v>
      </c>
      <c r="I8" s="489" t="s">
        <v>25</v>
      </c>
    </row>
    <row r="9" spans="1:10" s="239" customFormat="1" ht="15" customHeight="1" thickTop="1">
      <c r="A9" s="337" t="s">
        <v>328</v>
      </c>
      <c r="B9" s="333">
        <v>736</v>
      </c>
      <c r="C9" s="333">
        <f>B9*49</f>
        <v>36064</v>
      </c>
      <c r="D9" s="333">
        <v>2255</v>
      </c>
      <c r="E9" s="333">
        <f>D9*501</f>
        <v>1129755</v>
      </c>
      <c r="F9" s="333">
        <v>977</v>
      </c>
      <c r="G9" s="333">
        <v>144743</v>
      </c>
      <c r="H9" s="334">
        <f>ت.صحيه1!C9+ت.صحيه1!E9+ت.صحيه1!G9+ت.صحيه1!I9+ت.صحيه1!K9+ت.صحيه2!C9+ت.صحيه2!E9+ت.صحيه2!G9+ت.صحيه2!I9+ت.صحيه3!C9+ت.صحيه3!E9+ت.صحيه3!G9</f>
        <v>3162508</v>
      </c>
      <c r="I9" s="338" t="s">
        <v>378</v>
      </c>
      <c r="J9" s="304"/>
    </row>
    <row r="10" spans="1:10" s="166" customFormat="1" ht="15" customHeight="1">
      <c r="A10" s="371" t="s">
        <v>29</v>
      </c>
      <c r="B10" s="365">
        <v>233</v>
      </c>
      <c r="C10" s="365">
        <f>B10*49</f>
        <v>11417</v>
      </c>
      <c r="D10" s="365">
        <v>244</v>
      </c>
      <c r="E10" s="365">
        <f>D10*1150</f>
        <v>280600</v>
      </c>
      <c r="F10" s="365">
        <v>343</v>
      </c>
      <c r="G10" s="365">
        <v>43478</v>
      </c>
      <c r="H10" s="365">
        <f>ت.صحيه1!C10+ت.صحيه1!E10+ت.صحيه1!G10+ت.صحيه1!I10+ت.صحيه1!K10+ت.صحيه2!C10+ت.صحيه2!E10+ت.صحيه2!G10+ت.صحيه2!I10+ت.صحيه3!C10+ت.صحيه3!E10+ت.صحيه3!G10</f>
        <v>1117561</v>
      </c>
      <c r="I10" s="372" t="s">
        <v>30</v>
      </c>
      <c r="J10" s="291"/>
    </row>
    <row r="11" spans="1:10" s="166" customFormat="1" ht="15" customHeight="1">
      <c r="A11" s="337" t="s">
        <v>3</v>
      </c>
      <c r="B11" s="333">
        <v>0</v>
      </c>
      <c r="C11" s="333">
        <v>0</v>
      </c>
      <c r="D11" s="333">
        <v>28</v>
      </c>
      <c r="E11" s="333">
        <f>D11*900</f>
        <v>25200</v>
      </c>
      <c r="F11" s="333">
        <v>41</v>
      </c>
      <c r="G11" s="333">
        <v>6637</v>
      </c>
      <c r="H11" s="334">
        <f>ت.صحيه1!C11+ت.صحيه1!E11+ت.صحيه1!G11+ت.صحيه1!I11+ت.صحيه1!K11+ت.صحيه2!C11+ت.صحيه2!E11+ت.صحيه2!G11+ت.صحيه2!I11+ت.صحيه3!C11+ت.صحيه3!E11+ت.صحيه3!G11</f>
        <v>777199</v>
      </c>
      <c r="I11" s="338" t="s">
        <v>15</v>
      </c>
      <c r="J11" s="291"/>
    </row>
    <row r="12" spans="1:10" s="166" customFormat="1" ht="15" customHeight="1">
      <c r="A12" s="373" t="s">
        <v>319</v>
      </c>
      <c r="B12" s="365">
        <v>96</v>
      </c>
      <c r="C12" s="365">
        <f>B12*49</f>
        <v>4704</v>
      </c>
      <c r="D12" s="365">
        <v>52</v>
      </c>
      <c r="E12" s="365">
        <f>D12*557</f>
        <v>28964</v>
      </c>
      <c r="F12" s="365">
        <v>765</v>
      </c>
      <c r="G12" s="365">
        <v>133547</v>
      </c>
      <c r="H12" s="365">
        <f>ت.صحيه1!C12+ت.صحيه1!E12+ت.صحيه1!G12+ت.صحيه1!I12+ت.صحيه1!K12+ت.صحيه2!C12+ت.صحيه2!E12+ت.صحيه2!G12+ت.صحيه2!I12+ت.صحيه3!C12+ت.صحيه3!E12+ت.صحيه3!G12</f>
        <v>2162490</v>
      </c>
      <c r="I12" s="372" t="s">
        <v>315</v>
      </c>
      <c r="J12" s="291"/>
    </row>
    <row r="13" spans="1:10" s="166" customFormat="1" ht="15" customHeight="1">
      <c r="A13" s="337" t="s">
        <v>4</v>
      </c>
      <c r="B13" s="333">
        <v>510</v>
      </c>
      <c r="C13" s="333">
        <v>32568</v>
      </c>
      <c r="D13" s="333">
        <v>34181</v>
      </c>
      <c r="E13" s="333">
        <f>D13*1238</f>
        <v>42316078</v>
      </c>
      <c r="F13" s="333">
        <v>3765</v>
      </c>
      <c r="G13" s="333">
        <v>572500</v>
      </c>
      <c r="H13" s="334">
        <f>ت.صحيه1!C13+ت.صحيه1!E13+ت.صحيه1!G13+ت.صحيه1!I13+ت.صحيه1!K13+ت.صحيه2!C13+ت.صحيه2!E13+ت.صحيه2!G13+ت.صحيه2!I13+ت.صحيه3!C13+ت.صحيه3!E13+ت.صحيه3!G13</f>
        <v>46693348</v>
      </c>
      <c r="I13" s="338" t="s">
        <v>16</v>
      </c>
      <c r="J13" s="291"/>
    </row>
    <row r="14" spans="1:10" s="166" customFormat="1" ht="15" customHeight="1">
      <c r="A14" s="371" t="s">
        <v>5</v>
      </c>
      <c r="B14" s="365">
        <v>75</v>
      </c>
      <c r="C14" s="365">
        <f>B14*49</f>
        <v>3675</v>
      </c>
      <c r="D14" s="365">
        <v>132</v>
      </c>
      <c r="E14" s="365">
        <f>D14*1600</f>
        <v>211200</v>
      </c>
      <c r="F14" s="365">
        <v>126</v>
      </c>
      <c r="G14" s="365">
        <v>15873</v>
      </c>
      <c r="H14" s="365">
        <f>ت.صحيه1!C14+ت.صحيه1!E14+ت.صحيه1!G14+ت.صحيه1!I14+ت.صحيه1!K14+ت.صحيه2!C14+ت.صحيه2!E14+ت.صحيه2!G14+ت.صحيه2!I14+ت.صحيه3!C14+ت.صحيه3!E14+ت.صحيه3!G14</f>
        <v>1340621</v>
      </c>
      <c r="I14" s="372" t="s">
        <v>23</v>
      </c>
      <c r="J14" s="291"/>
    </row>
    <row r="15" spans="1:10" s="166" customFormat="1" ht="15" customHeight="1">
      <c r="A15" s="337" t="s">
        <v>6</v>
      </c>
      <c r="B15" s="333">
        <v>79</v>
      </c>
      <c r="C15" s="333">
        <f t="shared" ref="C15:C16" si="0">B15*49</f>
        <v>3871</v>
      </c>
      <c r="D15" s="333">
        <v>15</v>
      </c>
      <c r="E15" s="333">
        <f>D15*699</f>
        <v>10485</v>
      </c>
      <c r="F15" s="333">
        <v>158</v>
      </c>
      <c r="G15" s="333">
        <v>23325</v>
      </c>
      <c r="H15" s="334">
        <f>ت.صحيه1!C15+ت.صحيه1!E15+ت.صحيه1!G15+ت.صحيه1!I15+ت.صحيه1!K15+ت.صحيه2!C15+ت.صحيه2!E15+ت.صحيه2!G15+ت.صحيه2!I15+ت.صحيه3!C15+ت.صحيه3!E15+ت.صحيه3!G15</f>
        <v>1207033</v>
      </c>
      <c r="I15" s="338" t="s">
        <v>379</v>
      </c>
      <c r="J15" s="291"/>
    </row>
    <row r="16" spans="1:10" s="166" customFormat="1" ht="15" customHeight="1">
      <c r="A16" s="371" t="s">
        <v>11</v>
      </c>
      <c r="B16" s="365">
        <v>0</v>
      </c>
      <c r="C16" s="365">
        <f t="shared" si="0"/>
        <v>0</v>
      </c>
      <c r="D16" s="365">
        <v>18</v>
      </c>
      <c r="E16" s="365">
        <f>D16*700</f>
        <v>12600</v>
      </c>
      <c r="F16" s="365">
        <v>33</v>
      </c>
      <c r="G16" s="365">
        <v>5698</v>
      </c>
      <c r="H16" s="365">
        <f>ت.صحيه1!C16+ت.صحيه1!E16+ت.صحيه1!G16+ت.صحيه1!I16+ت.صحيه1!K16+ت.صحيه2!C16+ت.صحيه2!E16+ت.صحيه2!G16+ت.صحيه2!I16+ت.صحيه3!C16+ت.صحيه3!E16+ت.صحيه3!G16</f>
        <v>627369</v>
      </c>
      <c r="I16" s="372" t="s">
        <v>21</v>
      </c>
      <c r="J16" s="291"/>
    </row>
    <row r="17" spans="1:11" s="166" customFormat="1" ht="15" customHeight="1">
      <c r="A17" s="337" t="s">
        <v>2</v>
      </c>
      <c r="B17" s="333">
        <v>0</v>
      </c>
      <c r="C17" s="333">
        <f t="shared" ref="C17:C22" si="1">B17*51</f>
        <v>0</v>
      </c>
      <c r="D17" s="333">
        <v>317</v>
      </c>
      <c r="E17" s="333">
        <f>D17*725</f>
        <v>229825</v>
      </c>
      <c r="F17" s="333">
        <v>5</v>
      </c>
      <c r="G17" s="333">
        <v>789</v>
      </c>
      <c r="H17" s="334">
        <f>ت.صحيه1!C17+ت.صحيه1!E17+ت.صحيه1!G17+ت.صحيه1!I17+ت.صحيه1!K17+ت.صحيه2!C17+ت.صحيه2!E17+ت.صحيه2!G17+ت.صحيه2!I17+ت.صحيه3!C17+ت.صحيه3!E17+ت.صحيه3!G17</f>
        <v>498120</v>
      </c>
      <c r="I17" s="338" t="s">
        <v>14</v>
      </c>
      <c r="J17" s="291"/>
    </row>
    <row r="18" spans="1:11" s="166" customFormat="1" ht="15" customHeight="1">
      <c r="A18" s="371" t="s">
        <v>7</v>
      </c>
      <c r="B18" s="365">
        <v>22</v>
      </c>
      <c r="C18" s="365">
        <v>844</v>
      </c>
      <c r="D18" s="365">
        <v>250</v>
      </c>
      <c r="E18" s="365">
        <f>D18*808</f>
        <v>202000</v>
      </c>
      <c r="F18" s="365">
        <v>21</v>
      </c>
      <c r="G18" s="365">
        <v>2900</v>
      </c>
      <c r="H18" s="365">
        <f>ت.صحيه1!C18+ت.صحيه1!E18+ت.صحيه1!G18+ت.صحيه1!I18+ت.صحيه1!K18+ت.صحيه2!C18+ت.صحيه2!E18+ت.صحيه2!G18+ت.صحيه2!I18+ت.صحيه3!C18+ت.صحيه3!E18+ت.صحيه3!G18</f>
        <v>1323079</v>
      </c>
      <c r="I18" s="372" t="s">
        <v>17</v>
      </c>
      <c r="J18" s="291"/>
    </row>
    <row r="19" spans="1:11" s="166" customFormat="1" ht="15" customHeight="1">
      <c r="A19" s="337" t="s">
        <v>8</v>
      </c>
      <c r="B19" s="333">
        <v>232</v>
      </c>
      <c r="C19" s="333">
        <f>B19*49</f>
        <v>11368</v>
      </c>
      <c r="D19" s="333">
        <v>57</v>
      </c>
      <c r="E19" s="333">
        <f>D19*600</f>
        <v>34200</v>
      </c>
      <c r="F19" s="333">
        <v>298</v>
      </c>
      <c r="G19" s="333">
        <v>34997</v>
      </c>
      <c r="H19" s="334">
        <f>ت.صحيه1!C19+ت.صحيه1!E19+ت.صحيه1!G19+ت.صحيه1!I19+ت.صحيه1!K19+ت.صحيه2!C19+ت.صحيه2!E19+ت.صحيه2!G19+ت.صحيه2!I19+ت.صحيه3!C19+ت.صحيه3!E19+ت.صحيه3!G19</f>
        <v>2275534</v>
      </c>
      <c r="I19" s="338" t="s">
        <v>18</v>
      </c>
      <c r="J19" s="291"/>
    </row>
    <row r="20" spans="1:11" s="166" customFormat="1" ht="15" customHeight="1">
      <c r="A20" s="371" t="s">
        <v>9</v>
      </c>
      <c r="B20" s="365">
        <v>0</v>
      </c>
      <c r="C20" s="365">
        <v>0</v>
      </c>
      <c r="D20" s="365">
        <v>3</v>
      </c>
      <c r="E20" s="365">
        <f>D20*1100</f>
        <v>3300</v>
      </c>
      <c r="F20" s="365">
        <v>3</v>
      </c>
      <c r="G20" s="365">
        <v>258</v>
      </c>
      <c r="H20" s="365">
        <f>ت.صحيه1!C20+ت.صحيه1!E20+ت.صحيه1!G20+ت.صحيه1!I20+ت.صحيه1!K20+ت.صحيه2!C20+ت.صحيه2!E20+ت.صحيه2!G20+ت.صحيه2!I20+ت.صحيه3!C20+ت.صحيه3!E20+ت.صحيه3!G20</f>
        <v>705665</v>
      </c>
      <c r="I20" s="372" t="s">
        <v>19</v>
      </c>
      <c r="J20" s="291"/>
    </row>
    <row r="21" spans="1:11" s="166" customFormat="1" ht="15" customHeight="1">
      <c r="A21" s="337" t="s">
        <v>10</v>
      </c>
      <c r="B21" s="333">
        <v>74</v>
      </c>
      <c r="C21" s="333">
        <f>B21*49</f>
        <v>3626</v>
      </c>
      <c r="D21" s="333">
        <v>0</v>
      </c>
      <c r="E21" s="333">
        <f t="shared" ref="E21" si="2">D21*1067</f>
        <v>0</v>
      </c>
      <c r="F21" s="333">
        <v>87</v>
      </c>
      <c r="G21" s="333">
        <v>8536</v>
      </c>
      <c r="H21" s="334">
        <f>ت.صحيه1!C21+ت.صحيه1!E21+ت.صحيه1!G21+ت.صحيه1!I21+ت.صحيه1!K21+ت.صحيه2!C21+ت.صحيه2!E21+ت.صحيه2!G21+ت.صحيه2!I21+ت.صحيه3!C21+ت.صحيه3!E21+ت.صحيه3!G21</f>
        <v>530907</v>
      </c>
      <c r="I21" s="338" t="s">
        <v>20</v>
      </c>
      <c r="J21" s="291"/>
    </row>
    <row r="22" spans="1:11" s="166" customFormat="1" ht="15" customHeight="1">
      <c r="A22" s="371" t="s">
        <v>12</v>
      </c>
      <c r="B22" s="365">
        <v>0</v>
      </c>
      <c r="C22" s="365">
        <f t="shared" si="1"/>
        <v>0</v>
      </c>
      <c r="D22" s="365">
        <v>0</v>
      </c>
      <c r="E22" s="365">
        <f>D22*800</f>
        <v>0</v>
      </c>
      <c r="F22" s="365">
        <v>0</v>
      </c>
      <c r="G22" s="365">
        <v>0</v>
      </c>
      <c r="H22" s="365">
        <f>ت.صحيه1!C22+ت.صحيه1!E22+ت.صحيه1!G22+ت.صحيه1!I22+ت.صحيه1!K22+ت.صحيه2!C22+ت.صحيه2!E22+ت.صحيه2!G22+ت.صحيه2!I22+ت.صحيه3!C22+ت.صحيه3!E22+ت.صحيه3!G22</f>
        <v>221575.5</v>
      </c>
      <c r="I22" s="372" t="s">
        <v>24</v>
      </c>
      <c r="J22" s="291"/>
    </row>
    <row r="23" spans="1:11" s="239" customFormat="1" ht="15" customHeight="1" thickBot="1">
      <c r="A23" s="340" t="s">
        <v>13</v>
      </c>
      <c r="B23" s="341">
        <v>223</v>
      </c>
      <c r="C23" s="341">
        <f>B23*49</f>
        <v>10927</v>
      </c>
      <c r="D23" s="341">
        <v>114</v>
      </c>
      <c r="E23" s="341">
        <f>D23*888</f>
        <v>101232</v>
      </c>
      <c r="F23" s="341">
        <v>289</v>
      </c>
      <c r="G23" s="341">
        <v>32910</v>
      </c>
      <c r="H23" s="341">
        <f>ت.صحيه1!C23+ت.صحيه1!E23+ت.صحيه1!G23+ت.صحيه1!I23+ت.صحيه1!K23+ت.صحيه2!C23+ت.صحيه2!E23+ت.صحيه2!G23+ت.صحيه2!I23+ت.صحيه3!C23+ت.صحيه3!E23+ت.صحيه3!G23</f>
        <v>1205377</v>
      </c>
      <c r="I23" s="342" t="s">
        <v>22</v>
      </c>
      <c r="J23" s="304"/>
    </row>
    <row r="24" spans="1:11" s="239" customFormat="1" ht="19.5" customHeight="1" thickBot="1">
      <c r="A24" s="490" t="s">
        <v>0</v>
      </c>
      <c r="B24" s="482">
        <f>SUM(B9:B23)</f>
        <v>2280</v>
      </c>
      <c r="C24" s="482">
        <f t="shared" ref="C24:H24" si="3">SUM(C9:C23)</f>
        <v>119064</v>
      </c>
      <c r="D24" s="482">
        <f t="shared" si="3"/>
        <v>37666</v>
      </c>
      <c r="E24" s="482">
        <f t="shared" si="3"/>
        <v>44585439</v>
      </c>
      <c r="F24" s="482">
        <f t="shared" si="3"/>
        <v>6911</v>
      </c>
      <c r="G24" s="482">
        <f t="shared" si="3"/>
        <v>1026191</v>
      </c>
      <c r="H24" s="482">
        <f t="shared" si="3"/>
        <v>63848386.5</v>
      </c>
      <c r="I24" s="491" t="s">
        <v>1</v>
      </c>
    </row>
    <row r="25" spans="1:11" s="4" customFormat="1" ht="19.5" customHeight="1">
      <c r="A25" s="932"/>
      <c r="B25" s="932"/>
      <c r="C25" s="932"/>
      <c r="D25" s="932"/>
      <c r="E25" s="932"/>
      <c r="F25" s="932"/>
      <c r="G25" s="932"/>
      <c r="H25" s="595"/>
      <c r="I25" s="596"/>
      <c r="J25" s="587"/>
    </row>
    <row r="26" spans="1:11" ht="13.8">
      <c r="A26" s="587"/>
      <c r="B26" s="587"/>
      <c r="C26" s="587"/>
      <c r="D26" s="587"/>
      <c r="E26" s="587"/>
      <c r="F26" s="587"/>
      <c r="G26" s="587"/>
      <c r="H26" s="587"/>
      <c r="I26" s="590"/>
      <c r="J26" s="587"/>
    </row>
    <row r="27" spans="1:11" ht="15" customHeight="1">
      <c r="A27" s="953"/>
      <c r="B27" s="953"/>
      <c r="C27" s="587"/>
      <c r="D27" s="587"/>
      <c r="E27" s="587"/>
      <c r="F27" s="587"/>
      <c r="G27" s="587"/>
      <c r="H27" s="587"/>
      <c r="I27" s="589"/>
      <c r="J27" s="587"/>
      <c r="K27" s="31"/>
    </row>
  </sheetData>
  <mergeCells count="12">
    <mergeCell ref="H3:I3"/>
    <mergeCell ref="A27:B27"/>
    <mergeCell ref="A4:B4"/>
    <mergeCell ref="A1:I1"/>
    <mergeCell ref="A2:I2"/>
    <mergeCell ref="C4:D4"/>
    <mergeCell ref="F4:H4"/>
    <mergeCell ref="F6:G6"/>
    <mergeCell ref="D5:E5"/>
    <mergeCell ref="F5:G5"/>
    <mergeCell ref="D6:E6"/>
    <mergeCell ref="A25:G25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  <ignoredErrors>
    <ignoredError sqref="E22" formula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A1:J33"/>
  <sheetViews>
    <sheetView rightToLeft="1" view="pageBreakPreview" zoomScaleNormal="80" zoomScaleSheetLayoutView="100" workbookViewId="0">
      <selection activeCell="A2" sqref="A2:H2"/>
    </sheetView>
  </sheetViews>
  <sheetFormatPr defaultRowHeight="13.2"/>
  <cols>
    <col min="1" max="1" width="9.109375" customWidth="1"/>
    <col min="2" max="2" width="10" customWidth="1"/>
    <col min="3" max="3" width="13.5546875" bestFit="1" customWidth="1"/>
    <col min="4" max="4" width="11.5546875" customWidth="1"/>
    <col min="5" max="5" width="14.109375" customWidth="1"/>
    <col min="6" max="7" width="11.5546875" style="4" customWidth="1"/>
    <col min="8" max="8" width="18.5546875" customWidth="1"/>
    <col min="9" max="9" width="6.44140625" customWidth="1"/>
    <col min="10" max="10" width="10" bestFit="1" customWidth="1"/>
  </cols>
  <sheetData>
    <row r="1" spans="1:8" ht="13.8">
      <c r="A1" s="893" t="s">
        <v>455</v>
      </c>
      <c r="B1" s="893"/>
      <c r="C1" s="893"/>
      <c r="D1" s="893"/>
      <c r="E1" s="893"/>
      <c r="F1" s="893"/>
      <c r="G1" s="893"/>
      <c r="H1" s="893"/>
    </row>
    <row r="2" spans="1:8" ht="14.25" customHeight="1">
      <c r="A2" s="957" t="s">
        <v>477</v>
      </c>
      <c r="B2" s="957"/>
      <c r="C2" s="957"/>
      <c r="D2" s="957"/>
      <c r="E2" s="957"/>
      <c r="F2" s="957"/>
      <c r="G2" s="957"/>
      <c r="H2" s="957"/>
    </row>
    <row r="3" spans="1:8" s="4" customFormat="1" ht="14.25" customHeight="1">
      <c r="A3" s="135"/>
      <c r="B3" s="135"/>
      <c r="C3" s="135"/>
      <c r="D3" s="135"/>
      <c r="E3" s="135"/>
      <c r="F3" s="940"/>
      <c r="G3" s="940"/>
      <c r="H3" s="940"/>
    </row>
    <row r="4" spans="1:8" ht="15" customHeight="1" thickBot="1">
      <c r="A4" s="905" t="s">
        <v>405</v>
      </c>
      <c r="B4" s="905"/>
      <c r="C4" s="992" t="s">
        <v>164</v>
      </c>
      <c r="D4" s="992"/>
      <c r="E4" s="992"/>
      <c r="F4" s="320"/>
      <c r="G4" s="320"/>
      <c r="H4" s="148" t="s">
        <v>407</v>
      </c>
    </row>
    <row r="5" spans="1:8" ht="15" customHeight="1">
      <c r="A5" s="77"/>
      <c r="B5" s="993" t="s">
        <v>69</v>
      </c>
      <c r="C5" s="993"/>
      <c r="D5" s="993" t="s">
        <v>70</v>
      </c>
      <c r="E5" s="993"/>
      <c r="F5" s="109" t="s">
        <v>355</v>
      </c>
      <c r="G5" s="321"/>
      <c r="H5" s="21"/>
    </row>
    <row r="6" spans="1:8" ht="15" customHeight="1">
      <c r="A6" s="19"/>
      <c r="B6" s="957" t="s">
        <v>261</v>
      </c>
      <c r="C6" s="957"/>
      <c r="D6" s="957" t="s">
        <v>157</v>
      </c>
      <c r="E6" s="957"/>
      <c r="F6" s="318"/>
      <c r="G6" s="318"/>
      <c r="H6" s="24"/>
    </row>
    <row r="7" spans="1:8" ht="15" customHeight="1">
      <c r="A7" s="31"/>
      <c r="B7" s="176" t="s">
        <v>34</v>
      </c>
      <c r="C7" s="176" t="s">
        <v>215</v>
      </c>
      <c r="D7" s="176" t="s">
        <v>176</v>
      </c>
      <c r="E7" s="177" t="s">
        <v>218</v>
      </c>
      <c r="F7" s="322" t="s">
        <v>215</v>
      </c>
      <c r="G7" s="319"/>
      <c r="H7" s="24"/>
    </row>
    <row r="8" spans="1:8" ht="15" customHeight="1" thickBot="1">
      <c r="A8" s="180" t="s">
        <v>51</v>
      </c>
      <c r="B8" s="224" t="s">
        <v>122</v>
      </c>
      <c r="C8" s="224" t="s">
        <v>28</v>
      </c>
      <c r="D8" s="224" t="s">
        <v>119</v>
      </c>
      <c r="E8" s="224" t="s">
        <v>28</v>
      </c>
      <c r="F8" s="224" t="s">
        <v>118</v>
      </c>
      <c r="G8" s="224" t="s">
        <v>83</v>
      </c>
      <c r="H8" s="37" t="s">
        <v>25</v>
      </c>
    </row>
    <row r="9" spans="1:8" s="166" customFormat="1" ht="15" customHeight="1" thickTop="1">
      <c r="A9" s="347" t="s">
        <v>328</v>
      </c>
      <c r="B9" s="333">
        <v>634</v>
      </c>
      <c r="C9" s="333">
        <v>346975</v>
      </c>
      <c r="D9" s="334">
        <v>86217</v>
      </c>
      <c r="E9" s="333">
        <f>D9*9</f>
        <v>775953</v>
      </c>
      <c r="F9" s="333">
        <v>17561</v>
      </c>
      <c r="G9" s="333">
        <v>95322</v>
      </c>
      <c r="H9" s="345" t="s">
        <v>378</v>
      </c>
    </row>
    <row r="10" spans="1:8" s="166" customFormat="1" ht="15" customHeight="1">
      <c r="A10" s="364" t="s">
        <v>29</v>
      </c>
      <c r="B10" s="365">
        <v>0</v>
      </c>
      <c r="C10" s="365">
        <v>0</v>
      </c>
      <c r="D10" s="366">
        <v>97894</v>
      </c>
      <c r="E10" s="365">
        <f t="shared" ref="E10:E11" si="0">D10*9</f>
        <v>881046</v>
      </c>
      <c r="F10" s="365">
        <v>3365</v>
      </c>
      <c r="G10" s="365">
        <v>10456</v>
      </c>
      <c r="H10" s="367" t="s">
        <v>30</v>
      </c>
    </row>
    <row r="11" spans="1:8" s="166" customFormat="1" ht="15" customHeight="1">
      <c r="A11" s="349" t="s">
        <v>3</v>
      </c>
      <c r="B11" s="333">
        <v>131</v>
      </c>
      <c r="C11" s="333">
        <v>44453</v>
      </c>
      <c r="D11" s="334">
        <v>191175</v>
      </c>
      <c r="E11" s="333">
        <f t="shared" si="0"/>
        <v>1720575</v>
      </c>
      <c r="F11" s="333">
        <v>463</v>
      </c>
      <c r="G11" s="333">
        <v>1166</v>
      </c>
      <c r="H11" s="345" t="s">
        <v>15</v>
      </c>
    </row>
    <row r="12" spans="1:8" s="166" customFormat="1" ht="15" customHeight="1">
      <c r="A12" s="364" t="s">
        <v>319</v>
      </c>
      <c r="B12" s="365">
        <v>182</v>
      </c>
      <c r="C12" s="365">
        <v>52760</v>
      </c>
      <c r="D12" s="366">
        <v>153098</v>
      </c>
      <c r="E12" s="365">
        <v>1646319</v>
      </c>
      <c r="F12" s="365">
        <v>1628</v>
      </c>
      <c r="G12" s="365">
        <v>8239</v>
      </c>
      <c r="H12" s="367" t="s">
        <v>315</v>
      </c>
    </row>
    <row r="13" spans="1:8" s="166" customFormat="1" ht="15" customHeight="1">
      <c r="A13" s="349" t="s">
        <v>4</v>
      </c>
      <c r="B13" s="333">
        <v>73689</v>
      </c>
      <c r="C13" s="333">
        <v>36475830</v>
      </c>
      <c r="D13" s="334">
        <v>133469</v>
      </c>
      <c r="E13" s="333">
        <f>D13*9</f>
        <v>1201221</v>
      </c>
      <c r="F13" s="333">
        <v>92963</v>
      </c>
      <c r="G13" s="333">
        <v>560788</v>
      </c>
      <c r="H13" s="345" t="s">
        <v>16</v>
      </c>
    </row>
    <row r="14" spans="1:8" s="166" customFormat="1" ht="15" customHeight="1">
      <c r="A14" s="364" t="s">
        <v>5</v>
      </c>
      <c r="B14" s="365">
        <v>159</v>
      </c>
      <c r="C14" s="365">
        <v>75613</v>
      </c>
      <c r="D14" s="366">
        <v>169536</v>
      </c>
      <c r="E14" s="365">
        <f t="shared" ref="E14:E15" si="1">D14*9</f>
        <v>1525824</v>
      </c>
      <c r="F14" s="365">
        <v>1547</v>
      </c>
      <c r="G14" s="365">
        <v>6512</v>
      </c>
      <c r="H14" s="367" t="s">
        <v>23</v>
      </c>
    </row>
    <row r="15" spans="1:8" s="166" customFormat="1" ht="15" customHeight="1">
      <c r="A15" s="349" t="s">
        <v>6</v>
      </c>
      <c r="B15" s="333">
        <v>131</v>
      </c>
      <c r="C15" s="333">
        <v>42728</v>
      </c>
      <c r="D15" s="334">
        <v>208954</v>
      </c>
      <c r="E15" s="333">
        <f t="shared" si="1"/>
        <v>1880586</v>
      </c>
      <c r="F15" s="333">
        <v>520</v>
      </c>
      <c r="G15" s="333">
        <v>3599</v>
      </c>
      <c r="H15" s="345" t="s">
        <v>379</v>
      </c>
    </row>
    <row r="16" spans="1:8" s="166" customFormat="1" ht="15" customHeight="1">
      <c r="A16" s="364" t="s">
        <v>11</v>
      </c>
      <c r="B16" s="365">
        <v>19</v>
      </c>
      <c r="C16" s="365">
        <v>8140</v>
      </c>
      <c r="D16" s="366">
        <v>120563</v>
      </c>
      <c r="E16" s="365">
        <v>874278</v>
      </c>
      <c r="F16" s="365">
        <v>582</v>
      </c>
      <c r="G16" s="365">
        <v>2479</v>
      </c>
      <c r="H16" s="367" t="s">
        <v>21</v>
      </c>
    </row>
    <row r="17" spans="1:10" s="166" customFormat="1" ht="15.75" customHeight="1">
      <c r="A17" s="349" t="s">
        <v>2</v>
      </c>
      <c r="B17" s="333">
        <v>0</v>
      </c>
      <c r="C17" s="333">
        <f>B17*224</f>
        <v>0</v>
      </c>
      <c r="D17" s="334">
        <v>49366</v>
      </c>
      <c r="E17" s="333">
        <v>459960</v>
      </c>
      <c r="F17" s="333">
        <v>20</v>
      </c>
      <c r="G17" s="333">
        <f>F17*7</f>
        <v>140</v>
      </c>
      <c r="H17" s="345" t="s">
        <v>14</v>
      </c>
    </row>
    <row r="18" spans="1:10" s="166" customFormat="1" ht="15" customHeight="1">
      <c r="A18" s="364" t="s">
        <v>7</v>
      </c>
      <c r="B18" s="365">
        <v>95</v>
      </c>
      <c r="C18" s="771">
        <v>38892</v>
      </c>
      <c r="D18" s="366">
        <v>393385</v>
      </c>
      <c r="E18" s="771">
        <v>3879467</v>
      </c>
      <c r="F18" s="365">
        <v>453</v>
      </c>
      <c r="G18" s="365">
        <v>2110</v>
      </c>
      <c r="H18" s="367" t="s">
        <v>17</v>
      </c>
    </row>
    <row r="19" spans="1:10" s="166" customFormat="1" ht="15" customHeight="1">
      <c r="A19" s="349" t="s">
        <v>8</v>
      </c>
      <c r="B19" s="333">
        <v>153</v>
      </c>
      <c r="C19" s="333">
        <v>69432</v>
      </c>
      <c r="D19" s="334">
        <v>143583</v>
      </c>
      <c r="E19" s="333">
        <v>1129851</v>
      </c>
      <c r="F19" s="333">
        <v>2199</v>
      </c>
      <c r="G19" s="333">
        <v>9125</v>
      </c>
      <c r="H19" s="345" t="s">
        <v>18</v>
      </c>
    </row>
    <row r="20" spans="1:10" s="166" customFormat="1" ht="15" customHeight="1">
      <c r="A20" s="364" t="s">
        <v>9</v>
      </c>
      <c r="B20" s="365">
        <v>0</v>
      </c>
      <c r="C20" s="365">
        <v>0</v>
      </c>
      <c r="D20" s="366">
        <v>70639</v>
      </c>
      <c r="E20" s="365">
        <f>D20*9</f>
        <v>635751</v>
      </c>
      <c r="F20" s="365">
        <v>27</v>
      </c>
      <c r="G20" s="365">
        <f>F20*3</f>
        <v>81</v>
      </c>
      <c r="H20" s="367" t="s">
        <v>19</v>
      </c>
    </row>
    <row r="21" spans="1:10" s="166" customFormat="1" ht="15" customHeight="1">
      <c r="A21" s="349" t="s">
        <v>10</v>
      </c>
      <c r="B21" s="333">
        <v>0</v>
      </c>
      <c r="C21" s="333">
        <v>0</v>
      </c>
      <c r="D21" s="334">
        <v>176157</v>
      </c>
      <c r="E21" s="333">
        <f>D21*9</f>
        <v>1585413</v>
      </c>
      <c r="F21" s="333">
        <v>7908</v>
      </c>
      <c r="G21" s="333">
        <v>38362</v>
      </c>
      <c r="H21" s="345" t="s">
        <v>20</v>
      </c>
    </row>
    <row r="22" spans="1:10" s="166" customFormat="1" ht="15" customHeight="1">
      <c r="A22" s="364" t="s">
        <v>12</v>
      </c>
      <c r="B22" s="365">
        <v>0</v>
      </c>
      <c r="C22" s="365">
        <f>B22*400</f>
        <v>0</v>
      </c>
      <c r="D22" s="366">
        <v>27510</v>
      </c>
      <c r="E22" s="365">
        <v>272866</v>
      </c>
      <c r="F22" s="365">
        <v>0</v>
      </c>
      <c r="G22" s="365">
        <f>F22*4</f>
        <v>0</v>
      </c>
      <c r="H22" s="367" t="s">
        <v>24</v>
      </c>
    </row>
    <row r="23" spans="1:10" s="166" customFormat="1" ht="15" customHeight="1" thickBot="1">
      <c r="A23" s="349" t="s">
        <v>13</v>
      </c>
      <c r="B23" s="333">
        <v>0</v>
      </c>
      <c r="C23" s="333">
        <v>0</v>
      </c>
      <c r="D23" s="334">
        <v>370352</v>
      </c>
      <c r="E23" s="333">
        <f>D23*9</f>
        <v>3333168</v>
      </c>
      <c r="F23" s="333">
        <v>4521</v>
      </c>
      <c r="G23" s="333">
        <v>22910</v>
      </c>
      <c r="H23" s="345" t="s">
        <v>22</v>
      </c>
    </row>
    <row r="24" spans="1:10" s="166" customFormat="1" ht="24" customHeight="1" thickBot="1">
      <c r="A24" s="305" t="s">
        <v>0</v>
      </c>
      <c r="B24" s="296">
        <f>SUM(B9:B23)</f>
        <v>75193</v>
      </c>
      <c r="C24" s="296">
        <f t="shared" ref="C24:G24" si="2">SUM(C9:C23)</f>
        <v>37154823</v>
      </c>
      <c r="D24" s="296">
        <f t="shared" si="2"/>
        <v>2391898</v>
      </c>
      <c r="E24" s="296">
        <f t="shared" si="2"/>
        <v>21802278</v>
      </c>
      <c r="F24" s="296">
        <f t="shared" si="2"/>
        <v>133757</v>
      </c>
      <c r="G24" s="296">
        <f t="shared" si="2"/>
        <v>761289</v>
      </c>
      <c r="H24" s="502" t="s">
        <v>1</v>
      </c>
    </row>
    <row r="25" spans="1:10" s="4" customFormat="1" ht="16.5" customHeight="1">
      <c r="A25" s="932"/>
      <c r="B25" s="932"/>
      <c r="C25" s="932"/>
      <c r="D25" s="932"/>
      <c r="E25" s="592"/>
      <c r="F25" s="592"/>
      <c r="G25" s="592"/>
      <c r="H25" s="591"/>
      <c r="I25" s="587"/>
      <c r="J25" s="587"/>
    </row>
    <row r="26" spans="1:10" ht="13.8">
      <c r="A26" s="587"/>
      <c r="B26" s="587"/>
      <c r="C26" s="587"/>
      <c r="D26" s="587"/>
      <c r="E26" s="587"/>
      <c r="F26" s="587"/>
      <c r="G26" s="587"/>
      <c r="H26" s="590"/>
      <c r="I26" s="587"/>
      <c r="J26" s="587"/>
    </row>
    <row r="27" spans="1:10" ht="13.8">
      <c r="A27" s="594"/>
      <c r="B27" s="587"/>
      <c r="C27" s="587"/>
      <c r="D27" s="587"/>
      <c r="E27" s="587"/>
      <c r="F27" s="954"/>
      <c r="G27" s="954"/>
      <c r="H27" s="954"/>
      <c r="I27" s="587"/>
      <c r="J27" s="587"/>
    </row>
    <row r="28" spans="1:10">
      <c r="J28" s="4"/>
    </row>
    <row r="29" spans="1:10">
      <c r="F29" s="2"/>
      <c r="J29" s="4"/>
    </row>
    <row r="30" spans="1:10">
      <c r="J30" s="4"/>
    </row>
    <row r="31" spans="1:10">
      <c r="J31" s="4"/>
    </row>
    <row r="32" spans="1:10">
      <c r="J32" s="4"/>
    </row>
    <row r="33" spans="10:10">
      <c r="J33" s="4"/>
    </row>
  </sheetData>
  <mergeCells count="11">
    <mergeCell ref="A1:H1"/>
    <mergeCell ref="A2:H2"/>
    <mergeCell ref="C4:E4"/>
    <mergeCell ref="F3:H3"/>
    <mergeCell ref="F27:H27"/>
    <mergeCell ref="A25:D25"/>
    <mergeCell ref="B5:C5"/>
    <mergeCell ref="B6:C6"/>
    <mergeCell ref="D5:E5"/>
    <mergeCell ref="D6:E6"/>
    <mergeCell ref="A4:B4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</sheetPr>
  <dimension ref="A1:J27"/>
  <sheetViews>
    <sheetView rightToLeft="1" view="pageBreakPreview" zoomScaleNormal="80" zoomScaleSheetLayoutView="100" workbookViewId="0">
      <selection activeCell="A2" sqref="A2:J2"/>
    </sheetView>
  </sheetViews>
  <sheetFormatPr defaultRowHeight="13.2"/>
  <cols>
    <col min="1" max="1" width="8.88671875" customWidth="1"/>
    <col min="2" max="2" width="11.5546875" customWidth="1"/>
    <col min="3" max="3" width="13.33203125" customWidth="1"/>
    <col min="4" max="4" width="11.6640625" customWidth="1"/>
    <col min="5" max="5" width="13" bestFit="1" customWidth="1"/>
    <col min="6" max="6" width="11.6640625" customWidth="1"/>
    <col min="7" max="7" width="11.5546875" bestFit="1" customWidth="1"/>
    <col min="8" max="8" width="11.44140625" bestFit="1" customWidth="1"/>
    <col min="9" max="9" width="11.88671875" customWidth="1"/>
    <col min="10" max="10" width="18.109375" customWidth="1"/>
    <col min="11" max="16" width="10.6640625" customWidth="1"/>
  </cols>
  <sheetData>
    <row r="1" spans="1:10" ht="16.5" customHeight="1">
      <c r="A1" s="893" t="s">
        <v>455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0" ht="13.8">
      <c r="A2" s="883" t="s">
        <v>477</v>
      </c>
      <c r="B2" s="883"/>
      <c r="C2" s="883"/>
      <c r="D2" s="883"/>
      <c r="E2" s="883"/>
      <c r="F2" s="883"/>
      <c r="G2" s="883"/>
      <c r="H2" s="883"/>
      <c r="I2" s="883"/>
      <c r="J2" s="883"/>
    </row>
    <row r="3" spans="1:10" s="4" customFormat="1" ht="13.8">
      <c r="A3" s="134"/>
      <c r="B3" s="134"/>
      <c r="C3" s="134"/>
      <c r="D3" s="134"/>
      <c r="E3" s="134"/>
      <c r="F3" s="134"/>
      <c r="G3" s="134"/>
      <c r="H3" s="134"/>
      <c r="I3" s="134"/>
      <c r="J3" s="825" t="s">
        <v>361</v>
      </c>
    </row>
    <row r="4" spans="1:10" ht="26.25" customHeight="1" thickBot="1">
      <c r="A4" s="905" t="s">
        <v>405</v>
      </c>
      <c r="B4" s="905"/>
      <c r="C4" s="995" t="s">
        <v>415</v>
      </c>
      <c r="D4" s="995"/>
      <c r="E4" s="16"/>
      <c r="F4" s="947" t="s">
        <v>416</v>
      </c>
      <c r="G4" s="947"/>
      <c r="H4" s="947"/>
      <c r="I4" s="947"/>
      <c r="J4" s="947"/>
    </row>
    <row r="5" spans="1:10" ht="15" customHeight="1">
      <c r="A5" s="18"/>
      <c r="B5" s="993" t="s">
        <v>66</v>
      </c>
      <c r="C5" s="993"/>
      <c r="D5" s="993" t="s">
        <v>67</v>
      </c>
      <c r="E5" s="993"/>
      <c r="F5" s="993" t="s">
        <v>68</v>
      </c>
      <c r="G5" s="993"/>
      <c r="H5" s="993" t="s">
        <v>183</v>
      </c>
      <c r="I5" s="993"/>
      <c r="J5" s="18"/>
    </row>
    <row r="6" spans="1:10" s="4" customFormat="1" ht="31.5" customHeight="1">
      <c r="A6" s="18"/>
      <c r="B6" s="994" t="s">
        <v>240</v>
      </c>
      <c r="C6" s="994"/>
      <c r="D6" s="994" t="s">
        <v>262</v>
      </c>
      <c r="E6" s="994"/>
      <c r="F6" s="994" t="s">
        <v>282</v>
      </c>
      <c r="G6" s="994"/>
      <c r="H6" s="994" t="s">
        <v>263</v>
      </c>
      <c r="I6" s="994"/>
      <c r="J6" s="18"/>
    </row>
    <row r="7" spans="1:10" ht="19.5" customHeight="1">
      <c r="A7" s="31"/>
      <c r="B7" s="177" t="s">
        <v>224</v>
      </c>
      <c r="C7" s="33" t="s">
        <v>215</v>
      </c>
      <c r="D7" s="33" t="s">
        <v>65</v>
      </c>
      <c r="E7" s="33" t="s">
        <v>215</v>
      </c>
      <c r="F7" s="33" t="s">
        <v>65</v>
      </c>
      <c r="G7" s="33" t="s">
        <v>215</v>
      </c>
      <c r="H7" s="33" t="s">
        <v>65</v>
      </c>
      <c r="I7" s="33" t="s">
        <v>215</v>
      </c>
      <c r="J7" s="19"/>
    </row>
    <row r="8" spans="1:10" s="2" customFormat="1" ht="21" customHeight="1" thickBot="1">
      <c r="A8" s="180" t="s">
        <v>47</v>
      </c>
      <c r="B8" s="414" t="s">
        <v>225</v>
      </c>
      <c r="C8" s="414" t="s">
        <v>28</v>
      </c>
      <c r="D8" s="414" t="s">
        <v>118</v>
      </c>
      <c r="E8" s="414" t="s">
        <v>28</v>
      </c>
      <c r="F8" s="414" t="s">
        <v>118</v>
      </c>
      <c r="G8" s="414" t="s">
        <v>28</v>
      </c>
      <c r="H8" s="414">
        <v>0</v>
      </c>
      <c r="I8" s="414" t="s">
        <v>28</v>
      </c>
      <c r="J8" s="497" t="s">
        <v>25</v>
      </c>
    </row>
    <row r="9" spans="1:10" s="239" customFormat="1" ht="15" customHeight="1" thickTop="1">
      <c r="A9" s="298" t="s">
        <v>328</v>
      </c>
      <c r="B9" s="306">
        <v>141</v>
      </c>
      <c r="C9" s="306">
        <f>B9*3</f>
        <v>423</v>
      </c>
      <c r="D9" s="306">
        <v>0</v>
      </c>
      <c r="E9" s="306">
        <f>D9*10</f>
        <v>0</v>
      </c>
      <c r="F9" s="306">
        <v>0</v>
      </c>
      <c r="G9" s="306">
        <f>F9*3</f>
        <v>0</v>
      </c>
      <c r="H9" s="307">
        <v>0</v>
      </c>
      <c r="I9" s="307">
        <f>H9*4</f>
        <v>0</v>
      </c>
      <c r="J9" s="308" t="s">
        <v>378</v>
      </c>
    </row>
    <row r="10" spans="1:10" s="166" customFormat="1" ht="15" customHeight="1">
      <c r="A10" s="337" t="s">
        <v>29</v>
      </c>
      <c r="B10" s="343">
        <v>339</v>
      </c>
      <c r="C10" s="343">
        <f>B10*3</f>
        <v>1017</v>
      </c>
      <c r="D10" s="343">
        <v>0</v>
      </c>
      <c r="E10" s="343">
        <f t="shared" ref="E10:E23" si="0">D10*10</f>
        <v>0</v>
      </c>
      <c r="F10" s="343">
        <v>0</v>
      </c>
      <c r="G10" s="343">
        <f t="shared" ref="G10:G23" si="1">F10*3</f>
        <v>0</v>
      </c>
      <c r="H10" s="344">
        <v>1272</v>
      </c>
      <c r="I10" s="344">
        <v>2650</v>
      </c>
      <c r="J10" s="345" t="s">
        <v>30</v>
      </c>
    </row>
    <row r="11" spans="1:10" s="166" customFormat="1" ht="15" customHeight="1">
      <c r="A11" s="298" t="s">
        <v>3</v>
      </c>
      <c r="B11" s="306">
        <v>7398</v>
      </c>
      <c r="C11" s="306">
        <f>B11*2</f>
        <v>14796</v>
      </c>
      <c r="D11" s="306">
        <v>30</v>
      </c>
      <c r="E11" s="306">
        <v>318</v>
      </c>
      <c r="F11" s="306">
        <v>170</v>
      </c>
      <c r="G11" s="306">
        <v>318</v>
      </c>
      <c r="H11" s="307">
        <v>182</v>
      </c>
      <c r="I11" s="307">
        <v>371</v>
      </c>
      <c r="J11" s="308" t="s">
        <v>15</v>
      </c>
    </row>
    <row r="12" spans="1:10" s="166" customFormat="1" ht="15" customHeight="1">
      <c r="A12" s="339" t="s">
        <v>319</v>
      </c>
      <c r="B12" s="343">
        <v>6759</v>
      </c>
      <c r="C12" s="343">
        <f>B12*3</f>
        <v>20277</v>
      </c>
      <c r="D12" s="343">
        <v>13</v>
      </c>
      <c r="E12" s="343">
        <v>160</v>
      </c>
      <c r="F12" s="343">
        <v>0</v>
      </c>
      <c r="G12" s="343">
        <f>F12*2</f>
        <v>0</v>
      </c>
      <c r="H12" s="344">
        <v>1259</v>
      </c>
      <c r="I12" s="344">
        <v>4992</v>
      </c>
      <c r="J12" s="345" t="s">
        <v>315</v>
      </c>
    </row>
    <row r="13" spans="1:10" s="166" customFormat="1" ht="15" customHeight="1">
      <c r="A13" s="298" t="s">
        <v>4</v>
      </c>
      <c r="B13" s="306">
        <v>78295</v>
      </c>
      <c r="C13" s="306">
        <v>294771</v>
      </c>
      <c r="D13" s="306">
        <v>13375</v>
      </c>
      <c r="E13" s="306">
        <f>D13*12</f>
        <v>160500</v>
      </c>
      <c r="F13" s="306">
        <v>5167</v>
      </c>
      <c r="G13" s="306">
        <f>F13*2</f>
        <v>10334</v>
      </c>
      <c r="H13" s="307">
        <v>6372</v>
      </c>
      <c r="I13" s="307">
        <v>25488</v>
      </c>
      <c r="J13" s="308" t="s">
        <v>16</v>
      </c>
    </row>
    <row r="14" spans="1:10" s="166" customFormat="1" ht="15" customHeight="1">
      <c r="A14" s="337" t="s">
        <v>5</v>
      </c>
      <c r="B14" s="343">
        <v>13969</v>
      </c>
      <c r="C14" s="343">
        <v>48856</v>
      </c>
      <c r="D14" s="343">
        <v>2700</v>
      </c>
      <c r="E14" s="343">
        <f>D14*15</f>
        <v>40500</v>
      </c>
      <c r="F14" s="343">
        <v>224</v>
      </c>
      <c r="G14" s="343">
        <f>F14*2</f>
        <v>448</v>
      </c>
      <c r="H14" s="344">
        <v>2086</v>
      </c>
      <c r="I14" s="344">
        <v>5629</v>
      </c>
      <c r="J14" s="345" t="s">
        <v>23</v>
      </c>
    </row>
    <row r="15" spans="1:10" s="166" customFormat="1" ht="15" customHeight="1">
      <c r="A15" s="298" t="s">
        <v>6</v>
      </c>
      <c r="B15" s="306">
        <v>69273</v>
      </c>
      <c r="C15" s="306">
        <v>240198</v>
      </c>
      <c r="D15" s="306">
        <v>0</v>
      </c>
      <c r="E15" s="306">
        <f t="shared" si="0"/>
        <v>0</v>
      </c>
      <c r="F15" s="306">
        <v>0</v>
      </c>
      <c r="G15" s="306">
        <v>0</v>
      </c>
      <c r="H15" s="307">
        <v>719</v>
      </c>
      <c r="I15" s="307">
        <v>1568</v>
      </c>
      <c r="J15" s="308" t="s">
        <v>379</v>
      </c>
    </row>
    <row r="16" spans="1:10" s="166" customFormat="1" ht="15" customHeight="1">
      <c r="A16" s="337" t="s">
        <v>11</v>
      </c>
      <c r="B16" s="343">
        <v>0</v>
      </c>
      <c r="C16" s="343">
        <f>B16*2</f>
        <v>0</v>
      </c>
      <c r="D16" s="343">
        <v>33</v>
      </c>
      <c r="E16" s="343">
        <v>296</v>
      </c>
      <c r="F16" s="343">
        <v>133</v>
      </c>
      <c r="G16" s="343">
        <v>333</v>
      </c>
      <c r="H16" s="344">
        <v>222</v>
      </c>
      <c r="I16" s="344">
        <v>962</v>
      </c>
      <c r="J16" s="345" t="s">
        <v>21</v>
      </c>
    </row>
    <row r="17" spans="1:10" s="166" customFormat="1" ht="15" customHeight="1">
      <c r="A17" s="298" t="s">
        <v>2</v>
      </c>
      <c r="B17" s="306">
        <v>955</v>
      </c>
      <c r="C17" s="306">
        <v>4296</v>
      </c>
      <c r="D17" s="306">
        <v>0</v>
      </c>
      <c r="E17" s="306">
        <f>D17*12</f>
        <v>0</v>
      </c>
      <c r="F17" s="306">
        <v>0</v>
      </c>
      <c r="G17" s="306">
        <f t="shared" si="1"/>
        <v>0</v>
      </c>
      <c r="H17" s="307">
        <v>8</v>
      </c>
      <c r="I17" s="307">
        <f>H17*4</f>
        <v>32</v>
      </c>
      <c r="J17" s="308" t="s">
        <v>14</v>
      </c>
    </row>
    <row r="18" spans="1:10" s="166" customFormat="1" ht="15" customHeight="1">
      <c r="A18" s="337" t="s">
        <v>7</v>
      </c>
      <c r="B18" s="343">
        <v>25935</v>
      </c>
      <c r="C18" s="773">
        <v>75184</v>
      </c>
      <c r="D18" s="343">
        <v>67</v>
      </c>
      <c r="E18" s="343">
        <v>633</v>
      </c>
      <c r="F18" s="343">
        <v>53</v>
      </c>
      <c r="G18" s="343">
        <v>211</v>
      </c>
      <c r="H18" s="344">
        <v>485</v>
      </c>
      <c r="I18" s="344">
        <v>1477</v>
      </c>
      <c r="J18" s="345" t="s">
        <v>17</v>
      </c>
    </row>
    <row r="19" spans="1:10" s="166" customFormat="1" ht="15" customHeight="1">
      <c r="A19" s="298" t="s">
        <v>8</v>
      </c>
      <c r="B19" s="306">
        <v>14414</v>
      </c>
      <c r="C19" s="306">
        <v>63903</v>
      </c>
      <c r="D19" s="306">
        <v>1188</v>
      </c>
      <c r="E19" s="306">
        <f>D19*12</f>
        <v>14256</v>
      </c>
      <c r="F19" s="306">
        <v>1452</v>
      </c>
      <c r="G19" s="306">
        <v>4488</v>
      </c>
      <c r="H19" s="307">
        <v>3432</v>
      </c>
      <c r="I19" s="307">
        <v>7128</v>
      </c>
      <c r="J19" s="308" t="s">
        <v>18</v>
      </c>
    </row>
    <row r="20" spans="1:10" s="166" customFormat="1" ht="15" customHeight="1">
      <c r="A20" s="337" t="s">
        <v>9</v>
      </c>
      <c r="B20" s="343">
        <v>48516</v>
      </c>
      <c r="C20" s="343">
        <v>117089</v>
      </c>
      <c r="D20" s="343">
        <v>22847</v>
      </c>
      <c r="E20" s="343">
        <v>338075</v>
      </c>
      <c r="F20" s="343">
        <v>0</v>
      </c>
      <c r="G20" s="343">
        <f>F20*2</f>
        <v>0</v>
      </c>
      <c r="H20" s="344">
        <v>9686</v>
      </c>
      <c r="I20" s="344">
        <v>40</v>
      </c>
      <c r="J20" s="345" t="s">
        <v>19</v>
      </c>
    </row>
    <row r="21" spans="1:10" s="166" customFormat="1" ht="15" customHeight="1">
      <c r="A21" s="298" t="s">
        <v>10</v>
      </c>
      <c r="B21" s="306">
        <v>6636</v>
      </c>
      <c r="C21" s="306">
        <v>4924</v>
      </c>
      <c r="D21" s="306">
        <v>64</v>
      </c>
      <c r="E21" s="306">
        <f>D21*12</f>
        <v>768</v>
      </c>
      <c r="F21" s="306">
        <v>182</v>
      </c>
      <c r="G21" s="306">
        <v>304</v>
      </c>
      <c r="H21" s="307">
        <v>1429</v>
      </c>
      <c r="I21" s="307">
        <v>2736</v>
      </c>
      <c r="J21" s="308" t="s">
        <v>20</v>
      </c>
    </row>
    <row r="22" spans="1:10" s="239" customFormat="1" ht="15" customHeight="1">
      <c r="A22" s="337" t="s">
        <v>12</v>
      </c>
      <c r="B22" s="343">
        <v>15117</v>
      </c>
      <c r="C22" s="343">
        <v>63896</v>
      </c>
      <c r="D22" s="343">
        <v>0</v>
      </c>
      <c r="E22" s="343">
        <f t="shared" si="0"/>
        <v>0</v>
      </c>
      <c r="F22" s="343">
        <v>0</v>
      </c>
      <c r="G22" s="343">
        <f>F22*2</f>
        <v>0</v>
      </c>
      <c r="H22" s="344">
        <v>0</v>
      </c>
      <c r="I22" s="344">
        <f t="shared" ref="I22" si="2">H22*4</f>
        <v>0</v>
      </c>
      <c r="J22" s="345" t="s">
        <v>24</v>
      </c>
    </row>
    <row r="23" spans="1:10" s="239" customFormat="1" ht="15" customHeight="1" thickBot="1">
      <c r="A23" s="498" t="s">
        <v>13</v>
      </c>
      <c r="B23" s="499">
        <v>102027</v>
      </c>
      <c r="C23" s="306">
        <v>247399</v>
      </c>
      <c r="D23" s="499">
        <v>0</v>
      </c>
      <c r="E23" s="306">
        <f t="shared" si="0"/>
        <v>0</v>
      </c>
      <c r="F23" s="499">
        <v>0</v>
      </c>
      <c r="G23" s="499">
        <f t="shared" si="1"/>
        <v>0</v>
      </c>
      <c r="H23" s="500">
        <v>4533</v>
      </c>
      <c r="I23" s="307">
        <v>14138</v>
      </c>
      <c r="J23" s="501" t="s">
        <v>22</v>
      </c>
    </row>
    <row r="24" spans="1:10" s="239" customFormat="1" ht="24" customHeight="1" thickBot="1">
      <c r="A24" s="305" t="s">
        <v>0</v>
      </c>
      <c r="B24" s="309">
        <f>SUM(B9:B23)</f>
        <v>389774</v>
      </c>
      <c r="C24" s="309">
        <f t="shared" ref="C24:I24" si="3">SUM(C9:C23)</f>
        <v>1197029</v>
      </c>
      <c r="D24" s="309">
        <f t="shared" si="3"/>
        <v>40317</v>
      </c>
      <c r="E24" s="309">
        <f t="shared" si="3"/>
        <v>555506</v>
      </c>
      <c r="F24" s="309">
        <f t="shared" si="3"/>
        <v>7381</v>
      </c>
      <c r="G24" s="309">
        <f t="shared" si="3"/>
        <v>16436</v>
      </c>
      <c r="H24" s="309">
        <f t="shared" si="3"/>
        <v>31685</v>
      </c>
      <c r="I24" s="309">
        <f t="shared" si="3"/>
        <v>67211</v>
      </c>
      <c r="J24" s="310" t="s">
        <v>1</v>
      </c>
    </row>
    <row r="25" spans="1:10" s="4" customFormat="1" ht="24" customHeight="1">
      <c r="A25" s="932"/>
      <c r="B25" s="932"/>
      <c r="C25" s="932"/>
      <c r="D25" s="932"/>
      <c r="E25" s="932"/>
      <c r="F25" s="932"/>
      <c r="G25" s="932"/>
      <c r="H25" s="932"/>
      <c r="I25" s="592"/>
      <c r="J25" s="589"/>
    </row>
    <row r="26" spans="1:10" ht="13.8">
      <c r="A26" s="587"/>
      <c r="B26" s="587"/>
      <c r="C26" s="587"/>
      <c r="D26" s="587"/>
      <c r="E26" s="587"/>
      <c r="F26" s="587"/>
      <c r="G26" s="587"/>
      <c r="H26" s="593"/>
      <c r="I26" s="593"/>
      <c r="J26" s="590"/>
    </row>
    <row r="27" spans="1:10" ht="15" customHeight="1">
      <c r="A27" s="953"/>
      <c r="B27" s="953"/>
      <c r="C27" s="587"/>
      <c r="D27" s="587"/>
      <c r="E27" s="587"/>
      <c r="F27" s="587"/>
      <c r="G27" s="587"/>
      <c r="H27" s="593"/>
      <c r="I27" s="587"/>
      <c r="J27" s="591"/>
    </row>
  </sheetData>
  <mergeCells count="15">
    <mergeCell ref="A27:B27"/>
    <mergeCell ref="A1:J1"/>
    <mergeCell ref="A2:J2"/>
    <mergeCell ref="A25:H25"/>
    <mergeCell ref="H6:I6"/>
    <mergeCell ref="H5:I5"/>
    <mergeCell ref="F5:G5"/>
    <mergeCell ref="F6:G6"/>
    <mergeCell ref="D5:E5"/>
    <mergeCell ref="D6:E6"/>
    <mergeCell ref="B5:C5"/>
    <mergeCell ref="F4:J4"/>
    <mergeCell ref="B6:C6"/>
    <mergeCell ref="A4:B4"/>
    <mergeCell ref="C4:D4"/>
  </mergeCells>
  <phoneticPr fontId="3" type="noConversion"/>
  <printOptions horizontalCentered="1" verticalCentered="1"/>
  <pageMargins left="0.65" right="0.3" top="0.8" bottom="0.82" header="0.19685039370078741" footer="0.78740157480314965"/>
  <pageSetup paperSize="9" scale="90" orientation="landscape" r:id="rId1"/>
  <headerFooter alignWithMargins="0"/>
  <ignoredErrors>
    <ignoredError sqref="H24" formulaRange="1"/>
    <ignoredError sqref="E1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P27"/>
  <sheetViews>
    <sheetView rightToLeft="1" view="pageBreakPreview" zoomScaleNormal="80" zoomScaleSheetLayoutView="100" workbookViewId="0">
      <selection activeCell="A2" sqref="A2:G3"/>
    </sheetView>
  </sheetViews>
  <sheetFormatPr defaultColWidth="9.109375" defaultRowHeight="13.2"/>
  <cols>
    <col min="1" max="1" width="11.33203125" style="587" customWidth="1"/>
    <col min="2" max="2" width="10.33203125" style="587" customWidth="1"/>
    <col min="3" max="3" width="11.5546875" style="587" customWidth="1"/>
    <col min="4" max="4" width="10" style="587" customWidth="1"/>
    <col min="5" max="5" width="13.6640625" style="587" customWidth="1"/>
    <col min="6" max="6" width="13.5546875" style="587" customWidth="1"/>
    <col min="7" max="7" width="17.88671875" style="587" customWidth="1"/>
    <col min="8" max="8" width="18.33203125" style="587" customWidth="1"/>
    <col min="9" max="9" width="22.109375" style="587" customWidth="1"/>
    <col min="10" max="10" width="13.5546875" style="587" customWidth="1"/>
    <col min="11" max="11" width="11.109375" style="587" customWidth="1"/>
    <col min="12" max="12" width="10" style="587" customWidth="1"/>
    <col min="13" max="13" width="4.109375" style="587" customWidth="1"/>
    <col min="14" max="14" width="9.109375" style="587"/>
    <col min="15" max="15" width="18.44140625" style="587" customWidth="1"/>
    <col min="16" max="16" width="22.44140625" style="587" customWidth="1"/>
    <col min="17" max="16384" width="9.109375" style="587"/>
  </cols>
  <sheetData>
    <row r="1" spans="1:16" ht="21" customHeight="1">
      <c r="A1" s="893" t="s">
        <v>420</v>
      </c>
      <c r="B1" s="893"/>
      <c r="C1" s="893"/>
      <c r="D1" s="893"/>
      <c r="E1" s="893"/>
      <c r="F1" s="893"/>
      <c r="G1" s="893"/>
      <c r="H1" s="893"/>
    </row>
    <row r="2" spans="1:16" ht="14.25" customHeight="1">
      <c r="A2" s="896" t="s">
        <v>462</v>
      </c>
      <c r="B2" s="896"/>
      <c r="C2" s="896"/>
      <c r="D2" s="896"/>
      <c r="E2" s="896"/>
      <c r="F2" s="896"/>
      <c r="G2" s="896"/>
    </row>
    <row r="3" spans="1:16" ht="16.5" customHeight="1">
      <c r="A3" s="896"/>
      <c r="B3" s="896"/>
      <c r="C3" s="896"/>
      <c r="D3" s="896"/>
      <c r="E3" s="896"/>
      <c r="F3" s="896"/>
      <c r="G3" s="896"/>
      <c r="H3" s="558" t="s">
        <v>361</v>
      </c>
    </row>
    <row r="4" spans="1:16" ht="6" customHeight="1">
      <c r="A4" s="895"/>
      <c r="B4" s="895"/>
      <c r="C4" s="568"/>
      <c r="D4" s="896"/>
      <c r="E4" s="896"/>
      <c r="F4" s="896"/>
      <c r="G4" s="648"/>
      <c r="H4" s="648"/>
    </row>
    <row r="5" spans="1:16" ht="17.25" customHeight="1" thickBot="1">
      <c r="A5" s="666" t="s">
        <v>384</v>
      </c>
      <c r="B5" s="897" t="s">
        <v>383</v>
      </c>
      <c r="C5" s="897"/>
      <c r="D5" s="559"/>
      <c r="E5" s="559"/>
      <c r="F5" s="894" t="s">
        <v>295</v>
      </c>
      <c r="G5" s="894"/>
      <c r="H5" s="561" t="s">
        <v>71</v>
      </c>
    </row>
    <row r="6" spans="1:16" ht="15" customHeight="1">
      <c r="A6" s="649"/>
      <c r="B6" s="582" t="s">
        <v>64</v>
      </c>
      <c r="C6" s="582" t="s">
        <v>72</v>
      </c>
      <c r="D6" s="582" t="s">
        <v>73</v>
      </c>
      <c r="E6" s="582" t="s">
        <v>74</v>
      </c>
      <c r="F6" s="582" t="s">
        <v>75</v>
      </c>
      <c r="G6" s="582" t="s">
        <v>76</v>
      </c>
      <c r="H6" s="649"/>
    </row>
    <row r="7" spans="1:16" ht="38.25" customHeight="1">
      <c r="A7" s="648"/>
      <c r="B7" s="567" t="s">
        <v>27</v>
      </c>
      <c r="C7" s="565" t="s">
        <v>147</v>
      </c>
      <c r="D7" s="565" t="s">
        <v>132</v>
      </c>
      <c r="E7" s="567" t="s">
        <v>123</v>
      </c>
      <c r="F7" s="567" t="s">
        <v>124</v>
      </c>
      <c r="G7" s="567" t="s">
        <v>311</v>
      </c>
      <c r="H7" s="648"/>
    </row>
    <row r="8" spans="1:16" ht="15" customHeight="1">
      <c r="A8" s="649" t="s">
        <v>77</v>
      </c>
      <c r="B8" s="582" t="s">
        <v>120</v>
      </c>
      <c r="C8" s="563" t="s">
        <v>120</v>
      </c>
      <c r="D8" s="563" t="s">
        <v>120</v>
      </c>
      <c r="E8" s="582" t="s">
        <v>119</v>
      </c>
      <c r="F8" s="582" t="s">
        <v>119</v>
      </c>
      <c r="G8" s="582"/>
      <c r="H8" s="649" t="s">
        <v>25</v>
      </c>
      <c r="N8" s="615"/>
      <c r="P8" s="615"/>
    </row>
    <row r="9" spans="1:16" s="652" customFormat="1" ht="15" customHeight="1">
      <c r="A9" s="580" t="s">
        <v>328</v>
      </c>
      <c r="B9" s="650">
        <v>209</v>
      </c>
      <c r="C9" s="574">
        <v>1946</v>
      </c>
      <c r="D9" s="574">
        <v>2</v>
      </c>
      <c r="E9" s="574">
        <v>56950</v>
      </c>
      <c r="F9" s="650">
        <v>56127</v>
      </c>
      <c r="G9" s="650">
        <v>21867399.25</v>
      </c>
      <c r="H9" s="575" t="s">
        <v>378</v>
      </c>
      <c r="I9" s="651"/>
      <c r="J9" s="651"/>
      <c r="L9" s="651"/>
      <c r="M9" s="651"/>
      <c r="N9" s="651"/>
    </row>
    <row r="10" spans="1:16" s="609" customFormat="1" ht="15" customHeight="1">
      <c r="A10" s="582" t="s">
        <v>29</v>
      </c>
      <c r="B10" s="632">
        <v>362</v>
      </c>
      <c r="C10" s="653">
        <v>3174</v>
      </c>
      <c r="D10" s="653">
        <v>0</v>
      </c>
      <c r="E10" s="653">
        <v>94457</v>
      </c>
      <c r="F10" s="632">
        <v>96794</v>
      </c>
      <c r="G10" s="632">
        <v>42685326.923</v>
      </c>
      <c r="H10" s="579" t="s">
        <v>30</v>
      </c>
      <c r="I10" s="644"/>
      <c r="J10" s="651"/>
      <c r="L10" s="644"/>
      <c r="M10" s="644"/>
      <c r="N10" s="644"/>
    </row>
    <row r="11" spans="1:16" s="609" customFormat="1" ht="15" customHeight="1">
      <c r="A11" s="580" t="s">
        <v>3</v>
      </c>
      <c r="B11" s="636">
        <v>628</v>
      </c>
      <c r="C11" s="654">
        <v>4072</v>
      </c>
      <c r="D11" s="654">
        <v>1</v>
      </c>
      <c r="E11" s="654">
        <v>183985</v>
      </c>
      <c r="F11" s="636">
        <v>137011</v>
      </c>
      <c r="G11" s="636">
        <v>42750261</v>
      </c>
      <c r="H11" s="575" t="s">
        <v>15</v>
      </c>
      <c r="I11" s="644"/>
      <c r="J11" s="651"/>
      <c r="L11" s="644"/>
      <c r="N11" s="644"/>
    </row>
    <row r="12" spans="1:16" s="609" customFormat="1" ht="15" customHeight="1">
      <c r="A12" s="582" t="s">
        <v>314</v>
      </c>
      <c r="B12" s="632">
        <v>461</v>
      </c>
      <c r="C12" s="653">
        <v>2573</v>
      </c>
      <c r="D12" s="653">
        <v>0</v>
      </c>
      <c r="E12" s="653">
        <v>124837</v>
      </c>
      <c r="F12" s="632">
        <v>106710</v>
      </c>
      <c r="G12" s="632">
        <v>39191901.439999998</v>
      </c>
      <c r="H12" s="579" t="s">
        <v>315</v>
      </c>
      <c r="I12" s="644"/>
      <c r="J12" s="651"/>
      <c r="L12" s="644"/>
      <c r="N12" s="644"/>
    </row>
    <row r="13" spans="1:16" s="609" customFormat="1" ht="15" customHeight="1">
      <c r="A13" s="580" t="s">
        <v>4</v>
      </c>
      <c r="B13" s="636">
        <v>3005</v>
      </c>
      <c r="C13" s="654">
        <v>28066</v>
      </c>
      <c r="D13" s="654">
        <v>0</v>
      </c>
      <c r="E13" s="654">
        <v>804420</v>
      </c>
      <c r="F13" s="636">
        <v>1025249</v>
      </c>
      <c r="G13" s="636">
        <v>410134556.76599997</v>
      </c>
      <c r="H13" s="581" t="s">
        <v>16</v>
      </c>
      <c r="I13" s="644"/>
      <c r="J13" s="651"/>
      <c r="L13" s="644"/>
      <c r="N13" s="644"/>
    </row>
    <row r="14" spans="1:16" s="609" customFormat="1" ht="15" customHeight="1">
      <c r="A14" s="582" t="s">
        <v>5</v>
      </c>
      <c r="B14" s="632">
        <v>463</v>
      </c>
      <c r="C14" s="653">
        <v>3275</v>
      </c>
      <c r="D14" s="653">
        <v>0</v>
      </c>
      <c r="E14" s="653">
        <v>122662</v>
      </c>
      <c r="F14" s="632">
        <v>97289</v>
      </c>
      <c r="G14" s="632">
        <v>37994451</v>
      </c>
      <c r="H14" s="579" t="s">
        <v>23</v>
      </c>
      <c r="I14" s="644"/>
      <c r="J14" s="651"/>
      <c r="L14" s="644"/>
      <c r="N14" s="644"/>
    </row>
    <row r="15" spans="1:16" s="609" customFormat="1" ht="15" customHeight="1">
      <c r="A15" s="580" t="s">
        <v>6</v>
      </c>
      <c r="B15" s="636">
        <v>844</v>
      </c>
      <c r="C15" s="654">
        <v>6596</v>
      </c>
      <c r="D15" s="654">
        <v>0</v>
      </c>
      <c r="E15" s="654">
        <v>196272</v>
      </c>
      <c r="F15" s="636">
        <v>216395</v>
      </c>
      <c r="G15" s="636">
        <v>72774528</v>
      </c>
      <c r="H15" s="581" t="s">
        <v>379</v>
      </c>
      <c r="I15" s="644"/>
      <c r="J15" s="651"/>
      <c r="L15" s="644"/>
      <c r="N15" s="644"/>
    </row>
    <row r="16" spans="1:16" s="609" customFormat="1" ht="14.25" customHeight="1">
      <c r="A16" s="582" t="s">
        <v>11</v>
      </c>
      <c r="B16" s="632">
        <v>557</v>
      </c>
      <c r="C16" s="653">
        <v>3451</v>
      </c>
      <c r="D16" s="653">
        <v>0</v>
      </c>
      <c r="E16" s="653">
        <v>141969</v>
      </c>
      <c r="F16" s="632">
        <v>114689</v>
      </c>
      <c r="G16" s="632">
        <v>41639457.009999998</v>
      </c>
      <c r="H16" s="579" t="s">
        <v>21</v>
      </c>
      <c r="I16" s="644"/>
      <c r="J16" s="651"/>
      <c r="L16" s="644"/>
      <c r="N16" s="644"/>
    </row>
    <row r="17" spans="1:16" s="659" customFormat="1" ht="15" customHeight="1">
      <c r="A17" s="655" t="s">
        <v>2</v>
      </c>
      <c r="B17" s="656">
        <v>168</v>
      </c>
      <c r="C17" s="657">
        <v>918</v>
      </c>
      <c r="D17" s="657">
        <v>0</v>
      </c>
      <c r="E17" s="657">
        <v>47159</v>
      </c>
      <c r="F17" s="656">
        <v>38287</v>
      </c>
      <c r="G17" s="656">
        <v>12986564.640000001</v>
      </c>
      <c r="H17" s="581" t="s">
        <v>14</v>
      </c>
      <c r="I17" s="658"/>
      <c r="J17" s="651"/>
      <c r="L17" s="658"/>
      <c r="N17" s="658"/>
      <c r="O17" s="658"/>
      <c r="P17" s="658"/>
    </row>
    <row r="18" spans="1:16" s="609" customFormat="1" ht="18" customHeight="1">
      <c r="A18" s="582" t="s">
        <v>7</v>
      </c>
      <c r="B18" s="632">
        <v>928</v>
      </c>
      <c r="C18" s="653">
        <v>5727</v>
      </c>
      <c r="D18" s="653">
        <v>3</v>
      </c>
      <c r="E18" s="653">
        <v>223839</v>
      </c>
      <c r="F18" s="632">
        <v>177866</v>
      </c>
      <c r="G18" s="632">
        <v>83853498.375</v>
      </c>
      <c r="H18" s="579" t="s">
        <v>17</v>
      </c>
      <c r="I18" s="644"/>
      <c r="J18" s="651"/>
      <c r="L18" s="644"/>
      <c r="N18" s="644"/>
    </row>
    <row r="19" spans="1:16" s="609" customFormat="1" ht="15" customHeight="1">
      <c r="A19" s="580" t="s">
        <v>8</v>
      </c>
      <c r="B19" s="636">
        <v>457</v>
      </c>
      <c r="C19" s="654">
        <v>2710</v>
      </c>
      <c r="D19" s="654">
        <v>0</v>
      </c>
      <c r="E19" s="654">
        <v>118626</v>
      </c>
      <c r="F19" s="636">
        <v>80866</v>
      </c>
      <c r="G19" s="636">
        <v>26329017</v>
      </c>
      <c r="H19" s="581" t="s">
        <v>18</v>
      </c>
      <c r="I19" s="644"/>
      <c r="J19" s="651"/>
      <c r="L19" s="644"/>
      <c r="N19" s="644"/>
    </row>
    <row r="20" spans="1:16" s="609" customFormat="1" ht="15" customHeight="1">
      <c r="A20" s="582" t="s">
        <v>9</v>
      </c>
      <c r="B20" s="632">
        <v>341</v>
      </c>
      <c r="C20" s="653">
        <v>2026</v>
      </c>
      <c r="D20" s="653">
        <v>1</v>
      </c>
      <c r="E20" s="653">
        <v>85938</v>
      </c>
      <c r="F20" s="632">
        <v>65315</v>
      </c>
      <c r="G20" s="632">
        <v>22166976.600000001</v>
      </c>
      <c r="H20" s="579" t="s">
        <v>19</v>
      </c>
      <c r="I20" s="644"/>
      <c r="J20" s="651"/>
      <c r="L20" s="644">
        <v>1000</v>
      </c>
      <c r="N20" s="644"/>
    </row>
    <row r="21" spans="1:16" s="609" customFormat="1" ht="15" customHeight="1">
      <c r="A21" s="580" t="s">
        <v>10</v>
      </c>
      <c r="B21" s="636">
        <v>500</v>
      </c>
      <c r="C21" s="654">
        <v>3099</v>
      </c>
      <c r="D21" s="654">
        <v>1</v>
      </c>
      <c r="E21" s="654">
        <v>117892</v>
      </c>
      <c r="F21" s="636">
        <v>102670</v>
      </c>
      <c r="G21" s="636">
        <v>25826999</v>
      </c>
      <c r="H21" s="581" t="s">
        <v>20</v>
      </c>
      <c r="I21" s="644"/>
      <c r="J21" s="651"/>
      <c r="L21" s="644"/>
      <c r="N21" s="644"/>
    </row>
    <row r="22" spans="1:16" s="609" customFormat="1" ht="15" customHeight="1">
      <c r="A22" s="582" t="s">
        <v>12</v>
      </c>
      <c r="B22" s="632">
        <v>162</v>
      </c>
      <c r="C22" s="653">
        <v>707</v>
      </c>
      <c r="D22" s="653">
        <v>0</v>
      </c>
      <c r="E22" s="653">
        <v>38481</v>
      </c>
      <c r="F22" s="632">
        <v>26107</v>
      </c>
      <c r="G22" s="632">
        <v>10305443.25</v>
      </c>
      <c r="H22" s="579" t="s">
        <v>24</v>
      </c>
      <c r="I22" s="644"/>
      <c r="J22" s="651"/>
      <c r="L22" s="644"/>
      <c r="N22" s="644"/>
    </row>
    <row r="23" spans="1:16" s="609" customFormat="1" ht="14.25" customHeight="1" thickBot="1">
      <c r="A23" s="580" t="s">
        <v>13</v>
      </c>
      <c r="B23" s="636">
        <v>1090</v>
      </c>
      <c r="C23" s="654">
        <v>6210</v>
      </c>
      <c r="D23" s="654">
        <v>0</v>
      </c>
      <c r="E23" s="654">
        <v>265896</v>
      </c>
      <c r="F23" s="636">
        <v>303157</v>
      </c>
      <c r="G23" s="636">
        <v>121205003</v>
      </c>
      <c r="H23" s="581" t="s">
        <v>22</v>
      </c>
      <c r="I23" s="644"/>
      <c r="J23" s="651"/>
      <c r="K23" s="644"/>
      <c r="L23" s="644"/>
      <c r="N23" s="644"/>
    </row>
    <row r="24" spans="1:16" s="663" customFormat="1" ht="15" customHeight="1" thickBot="1">
      <c r="A24" s="660" t="s">
        <v>0</v>
      </c>
      <c r="B24" s="661">
        <f t="shared" ref="B24:G24" si="0">SUM(B9:B23)</f>
        <v>10175</v>
      </c>
      <c r="C24" s="661">
        <f t="shared" si="0"/>
        <v>74550</v>
      </c>
      <c r="D24" s="661">
        <f t="shared" si="0"/>
        <v>8</v>
      </c>
      <c r="E24" s="661">
        <f t="shared" si="0"/>
        <v>2623383</v>
      </c>
      <c r="F24" s="661">
        <f t="shared" si="0"/>
        <v>2644532</v>
      </c>
      <c r="G24" s="661">
        <f t="shared" si="0"/>
        <v>1011711383.2539999</v>
      </c>
      <c r="H24" s="662" t="s">
        <v>1</v>
      </c>
      <c r="L24" s="664"/>
      <c r="N24" s="664"/>
      <c r="P24" s="664"/>
    </row>
    <row r="25" spans="1:16" ht="18" customHeight="1">
      <c r="A25" s="892"/>
      <c r="B25" s="892"/>
      <c r="C25" s="892"/>
      <c r="D25" s="892"/>
      <c r="L25" s="593"/>
      <c r="N25" s="593"/>
      <c r="P25" s="593"/>
    </row>
    <row r="26" spans="1:16" ht="15.75" customHeight="1">
      <c r="C26" s="620"/>
      <c r="D26" s="620"/>
      <c r="E26" s="620"/>
      <c r="F26" s="620"/>
      <c r="G26" s="620"/>
      <c r="P26" s="593"/>
    </row>
    <row r="27" spans="1:16" ht="16.5" customHeight="1">
      <c r="D27" s="593"/>
      <c r="E27" s="593"/>
    </row>
  </sheetData>
  <mergeCells count="7">
    <mergeCell ref="A25:D25"/>
    <mergeCell ref="A1:H1"/>
    <mergeCell ref="F5:G5"/>
    <mergeCell ref="A4:B4"/>
    <mergeCell ref="D4:F4"/>
    <mergeCell ref="A2:G3"/>
    <mergeCell ref="B5:C5"/>
  </mergeCells>
  <phoneticPr fontId="3" type="noConversion"/>
  <printOptions horizontalCentered="1" verticalCentered="1"/>
  <pageMargins left="0.23622047244094491" right="1.25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J29"/>
  <sheetViews>
    <sheetView rightToLeft="1" view="pageBreakPreview" zoomScale="106" zoomScaleNormal="80" zoomScaleSheetLayoutView="106" workbookViewId="0">
      <selection activeCell="A2" sqref="A2:H2"/>
    </sheetView>
  </sheetViews>
  <sheetFormatPr defaultRowHeight="13.2"/>
  <cols>
    <col min="1" max="1" width="11.109375" customWidth="1"/>
    <col min="2" max="2" width="11.6640625" customWidth="1"/>
    <col min="3" max="3" width="14" customWidth="1"/>
    <col min="4" max="4" width="16.33203125" customWidth="1"/>
    <col min="5" max="5" width="15.109375" customWidth="1"/>
    <col min="6" max="6" width="14.109375" customWidth="1"/>
    <col min="7" max="7" width="15.109375" customWidth="1"/>
    <col min="8" max="8" width="16.88671875" customWidth="1"/>
    <col min="9" max="18" width="10.6640625" customWidth="1"/>
  </cols>
  <sheetData>
    <row r="1" spans="1:10" ht="15" customHeight="1">
      <c r="A1" s="893" t="s">
        <v>455</v>
      </c>
      <c r="B1" s="893"/>
      <c r="C1" s="893"/>
      <c r="D1" s="893"/>
      <c r="E1" s="893"/>
      <c r="F1" s="893"/>
      <c r="G1" s="893"/>
      <c r="H1" s="893"/>
    </row>
    <row r="2" spans="1:10" ht="17.25" customHeight="1">
      <c r="A2" s="883" t="s">
        <v>483</v>
      </c>
      <c r="B2" s="883"/>
      <c r="C2" s="883"/>
      <c r="D2" s="883"/>
      <c r="E2" s="883"/>
      <c r="F2" s="883"/>
      <c r="G2" s="883"/>
      <c r="H2" s="883"/>
    </row>
    <row r="3" spans="1:10" s="4" customFormat="1" ht="27" customHeight="1">
      <c r="A3" s="134"/>
      <c r="B3" s="134"/>
      <c r="C3" s="134"/>
      <c r="D3" s="134"/>
      <c r="E3" s="134"/>
      <c r="F3" s="134"/>
      <c r="G3" s="134"/>
      <c r="H3" s="164"/>
    </row>
    <row r="4" spans="1:10" ht="31.5" customHeight="1" thickBot="1">
      <c r="A4" s="905" t="s">
        <v>405</v>
      </c>
      <c r="B4" s="905"/>
      <c r="C4" s="79" t="s">
        <v>345</v>
      </c>
      <c r="D4" s="11"/>
      <c r="E4" s="11"/>
      <c r="F4" s="996" t="s">
        <v>164</v>
      </c>
      <c r="G4" s="996"/>
      <c r="H4" s="148" t="s">
        <v>408</v>
      </c>
    </row>
    <row r="5" spans="1:10" ht="15" customHeight="1">
      <c r="A5" s="23"/>
      <c r="B5" s="993" t="s">
        <v>62</v>
      </c>
      <c r="C5" s="993"/>
      <c r="D5" s="109" t="s">
        <v>159</v>
      </c>
      <c r="E5" s="109"/>
      <c r="F5" s="393" t="s">
        <v>63</v>
      </c>
      <c r="G5" s="77"/>
      <c r="H5" s="23"/>
    </row>
    <row r="6" spans="1:10" s="4" customFormat="1" ht="15" customHeight="1">
      <c r="A6" s="27"/>
      <c r="B6" s="994" t="s">
        <v>306</v>
      </c>
      <c r="C6" s="994"/>
      <c r="D6" s="32" t="s">
        <v>234</v>
      </c>
      <c r="E6" s="32"/>
      <c r="F6" s="391" t="s">
        <v>281</v>
      </c>
      <c r="G6" s="18"/>
      <c r="H6" s="27"/>
    </row>
    <row r="7" spans="1:10" ht="15" customHeight="1" thickBot="1">
      <c r="A7" s="218"/>
      <c r="B7" s="217" t="s">
        <v>64</v>
      </c>
      <c r="C7" s="217" t="s">
        <v>215</v>
      </c>
      <c r="D7" s="217" t="s">
        <v>226</v>
      </c>
      <c r="E7" s="217" t="s">
        <v>215</v>
      </c>
      <c r="F7" s="217" t="s">
        <v>181</v>
      </c>
      <c r="G7" s="217" t="s">
        <v>215</v>
      </c>
      <c r="H7" s="218"/>
    </row>
    <row r="8" spans="1:10" ht="15" customHeight="1" thickBot="1">
      <c r="A8" s="196" t="s">
        <v>47</v>
      </c>
      <c r="B8" s="188" t="s">
        <v>120</v>
      </c>
      <c r="C8" s="346" t="s">
        <v>28</v>
      </c>
      <c r="D8" s="346" t="s">
        <v>227</v>
      </c>
      <c r="E8" s="346" t="s">
        <v>28</v>
      </c>
      <c r="F8" s="346" t="s">
        <v>228</v>
      </c>
      <c r="G8" s="346" t="s">
        <v>28</v>
      </c>
      <c r="H8" s="196" t="s">
        <v>25</v>
      </c>
    </row>
    <row r="9" spans="1:10" s="311" customFormat="1" ht="15" customHeight="1">
      <c r="A9" s="347" t="s">
        <v>328</v>
      </c>
      <c r="B9" s="333">
        <v>3372</v>
      </c>
      <c r="C9" s="333">
        <v>109871</v>
      </c>
      <c r="D9" s="333">
        <v>56258</v>
      </c>
      <c r="E9" s="334">
        <v>337548</v>
      </c>
      <c r="F9" s="334">
        <v>57</v>
      </c>
      <c r="G9" s="333">
        <f>F9*431</f>
        <v>24567</v>
      </c>
      <c r="H9" s="348" t="s">
        <v>378</v>
      </c>
    </row>
    <row r="10" spans="1:10" s="166" customFormat="1" ht="15" customHeight="1">
      <c r="A10" s="312" t="s">
        <v>29</v>
      </c>
      <c r="B10" s="292">
        <v>2302</v>
      </c>
      <c r="C10" s="292">
        <v>76120</v>
      </c>
      <c r="D10" s="292">
        <v>13780</v>
      </c>
      <c r="E10" s="292">
        <v>110240</v>
      </c>
      <c r="F10" s="293">
        <v>63</v>
      </c>
      <c r="G10" s="292">
        <f>F10*431</f>
        <v>27153</v>
      </c>
      <c r="H10" s="299" t="s">
        <v>30</v>
      </c>
      <c r="J10" s="311"/>
    </row>
    <row r="11" spans="1:10" s="166" customFormat="1" ht="15" customHeight="1">
      <c r="A11" s="349" t="s">
        <v>3</v>
      </c>
      <c r="B11" s="333">
        <v>307</v>
      </c>
      <c r="C11" s="333">
        <v>7685</v>
      </c>
      <c r="D11" s="333">
        <v>1649</v>
      </c>
      <c r="E11" s="334">
        <v>11528</v>
      </c>
      <c r="F11" s="334">
        <v>0</v>
      </c>
      <c r="G11" s="334">
        <v>0</v>
      </c>
      <c r="H11" s="338" t="s">
        <v>15</v>
      </c>
      <c r="J11" s="311"/>
    </row>
    <row r="12" spans="1:10" s="166" customFormat="1" ht="15" customHeight="1">
      <c r="A12" s="312" t="s">
        <v>319</v>
      </c>
      <c r="B12" s="292">
        <v>1024</v>
      </c>
      <c r="C12" s="292">
        <v>24992</v>
      </c>
      <c r="D12" s="292">
        <v>9866</v>
      </c>
      <c r="E12" s="292">
        <v>49272</v>
      </c>
      <c r="F12" s="293">
        <v>0</v>
      </c>
      <c r="G12" s="293">
        <v>0</v>
      </c>
      <c r="H12" s="299" t="s">
        <v>315</v>
      </c>
      <c r="J12" s="311"/>
    </row>
    <row r="13" spans="1:10" s="166" customFormat="1" ht="15" customHeight="1">
      <c r="A13" s="349" t="s">
        <v>4</v>
      </c>
      <c r="B13" s="333">
        <v>9908</v>
      </c>
      <c r="C13" s="333">
        <v>348325</v>
      </c>
      <c r="D13" s="333">
        <v>32946</v>
      </c>
      <c r="E13" s="334">
        <v>195489</v>
      </c>
      <c r="F13" s="334">
        <v>0</v>
      </c>
      <c r="G13" s="334">
        <v>0</v>
      </c>
      <c r="H13" s="338" t="s">
        <v>16</v>
      </c>
      <c r="J13" s="311"/>
    </row>
    <row r="14" spans="1:10" s="166" customFormat="1" ht="15" customHeight="1">
      <c r="A14" s="312" t="s">
        <v>5</v>
      </c>
      <c r="B14" s="292">
        <v>962</v>
      </c>
      <c r="C14" s="292">
        <v>33300</v>
      </c>
      <c r="D14" s="292">
        <v>5624</v>
      </c>
      <c r="E14" s="292">
        <v>24124</v>
      </c>
      <c r="F14" s="293">
        <v>0</v>
      </c>
      <c r="G14" s="293">
        <v>0</v>
      </c>
      <c r="H14" s="299" t="s">
        <v>23</v>
      </c>
      <c r="J14" s="311"/>
    </row>
    <row r="15" spans="1:10" s="166" customFormat="1" ht="15" customHeight="1">
      <c r="A15" s="349" t="s">
        <v>6</v>
      </c>
      <c r="B15" s="333">
        <v>2069</v>
      </c>
      <c r="C15" s="333">
        <v>74437</v>
      </c>
      <c r="D15" s="333">
        <v>1764</v>
      </c>
      <c r="E15" s="334">
        <v>8232</v>
      </c>
      <c r="F15" s="334">
        <v>0</v>
      </c>
      <c r="G15" s="334">
        <v>0</v>
      </c>
      <c r="H15" s="338" t="s">
        <v>379</v>
      </c>
      <c r="J15" s="311"/>
    </row>
    <row r="16" spans="1:10" s="166" customFormat="1" ht="15" customHeight="1">
      <c r="A16" s="312" t="s">
        <v>11</v>
      </c>
      <c r="B16" s="292">
        <v>439</v>
      </c>
      <c r="C16" s="292">
        <f>B16*28</f>
        <v>12292</v>
      </c>
      <c r="D16" s="292">
        <v>1406</v>
      </c>
      <c r="E16" s="292">
        <v>5624</v>
      </c>
      <c r="F16" s="293">
        <v>0</v>
      </c>
      <c r="G16" s="293">
        <v>0</v>
      </c>
      <c r="H16" s="299" t="s">
        <v>21</v>
      </c>
      <c r="J16" s="311"/>
    </row>
    <row r="17" spans="1:10" s="166" customFormat="1" ht="15" customHeight="1">
      <c r="A17" s="349" t="s">
        <v>2</v>
      </c>
      <c r="B17" s="333">
        <v>0</v>
      </c>
      <c r="C17" s="333">
        <v>0</v>
      </c>
      <c r="D17" s="333">
        <v>106</v>
      </c>
      <c r="E17" s="334">
        <v>946</v>
      </c>
      <c r="F17" s="334">
        <v>0</v>
      </c>
      <c r="G17" s="334">
        <v>0</v>
      </c>
      <c r="H17" s="338" t="s">
        <v>14</v>
      </c>
      <c r="J17" s="311"/>
    </row>
    <row r="18" spans="1:10" s="166" customFormat="1" ht="15" customHeight="1">
      <c r="A18" s="312" t="s">
        <v>7</v>
      </c>
      <c r="B18" s="292">
        <v>311</v>
      </c>
      <c r="C18" s="772">
        <v>7753</v>
      </c>
      <c r="D18" s="292">
        <v>359</v>
      </c>
      <c r="E18" s="292">
        <v>1266</v>
      </c>
      <c r="F18" s="293">
        <v>0</v>
      </c>
      <c r="G18" s="293">
        <v>0</v>
      </c>
      <c r="H18" s="299" t="s">
        <v>17</v>
      </c>
      <c r="J18" s="311"/>
    </row>
    <row r="19" spans="1:10" s="166" customFormat="1" ht="15" customHeight="1">
      <c r="A19" s="349" t="s">
        <v>8</v>
      </c>
      <c r="B19" s="333">
        <v>2376</v>
      </c>
      <c r="C19" s="333">
        <v>59400</v>
      </c>
      <c r="D19" s="333">
        <v>15048</v>
      </c>
      <c r="E19" s="333">
        <v>57288</v>
      </c>
      <c r="F19" s="334">
        <v>0</v>
      </c>
      <c r="G19" s="334">
        <v>0</v>
      </c>
      <c r="H19" s="338" t="s">
        <v>18</v>
      </c>
      <c r="J19" s="311"/>
    </row>
    <row r="20" spans="1:10" s="166" customFormat="1" ht="15" customHeight="1">
      <c r="A20" s="312" t="s">
        <v>9</v>
      </c>
      <c r="B20" s="292">
        <v>6</v>
      </c>
      <c r="C20" s="292">
        <v>160</v>
      </c>
      <c r="D20" s="292">
        <v>57</v>
      </c>
      <c r="E20" s="292">
        <v>180</v>
      </c>
      <c r="F20" s="293">
        <v>0</v>
      </c>
      <c r="G20" s="293">
        <v>0</v>
      </c>
      <c r="H20" s="299" t="s">
        <v>19</v>
      </c>
      <c r="J20" s="311"/>
    </row>
    <row r="21" spans="1:10" s="166" customFormat="1" ht="15" customHeight="1">
      <c r="A21" s="349" t="s">
        <v>10</v>
      </c>
      <c r="B21" s="333">
        <v>304</v>
      </c>
      <c r="C21" s="333">
        <v>4864</v>
      </c>
      <c r="D21" s="333">
        <v>6080</v>
      </c>
      <c r="E21" s="333">
        <v>18240</v>
      </c>
      <c r="F21" s="334">
        <v>0</v>
      </c>
      <c r="G21" s="334">
        <v>0</v>
      </c>
      <c r="H21" s="338" t="s">
        <v>20</v>
      </c>
      <c r="J21" s="311"/>
    </row>
    <row r="22" spans="1:10" s="166" customFormat="1" ht="15" customHeight="1">
      <c r="A22" s="312" t="s">
        <v>12</v>
      </c>
      <c r="B22" s="292">
        <v>0</v>
      </c>
      <c r="C22" s="292">
        <f>B22*25</f>
        <v>0</v>
      </c>
      <c r="D22" s="292">
        <v>0</v>
      </c>
      <c r="E22" s="292">
        <f t="shared" ref="E22" si="0">D22*4</f>
        <v>0</v>
      </c>
      <c r="F22" s="293">
        <v>0</v>
      </c>
      <c r="G22" s="293">
        <v>0</v>
      </c>
      <c r="H22" s="299" t="s">
        <v>24</v>
      </c>
      <c r="J22" s="311"/>
    </row>
    <row r="23" spans="1:10" s="166" customFormat="1" ht="15" customHeight="1" thickBot="1">
      <c r="A23" s="349" t="s">
        <v>13</v>
      </c>
      <c r="B23" s="333">
        <v>2608</v>
      </c>
      <c r="C23" s="333">
        <v>65275</v>
      </c>
      <c r="D23" s="333">
        <v>12628</v>
      </c>
      <c r="E23" s="334">
        <v>53095</v>
      </c>
      <c r="F23" s="334">
        <v>0</v>
      </c>
      <c r="G23" s="334">
        <v>0</v>
      </c>
      <c r="H23" s="338" t="s">
        <v>22</v>
      </c>
      <c r="J23" s="311"/>
    </row>
    <row r="24" spans="1:10" s="110" customFormat="1" ht="15.75" customHeight="1" thickBot="1">
      <c r="A24" s="503" t="s">
        <v>0</v>
      </c>
      <c r="B24" s="502">
        <f>SUM(B9:B23)</f>
        <v>25988</v>
      </c>
      <c r="C24" s="502">
        <f t="shared" ref="C24:G24" si="1">SUM(C9:C23)</f>
        <v>824474</v>
      </c>
      <c r="D24" s="502">
        <f t="shared" si="1"/>
        <v>157571</v>
      </c>
      <c r="E24" s="502">
        <f t="shared" si="1"/>
        <v>873072</v>
      </c>
      <c r="F24" s="502">
        <f t="shared" si="1"/>
        <v>120</v>
      </c>
      <c r="G24" s="502">
        <f t="shared" si="1"/>
        <v>51720</v>
      </c>
      <c r="H24" s="502" t="s">
        <v>1</v>
      </c>
    </row>
    <row r="25" spans="1:10" s="4" customFormat="1" ht="15.75" customHeight="1">
      <c r="A25" s="932"/>
      <c r="B25" s="932"/>
      <c r="C25" s="932"/>
      <c r="D25" s="932"/>
      <c r="E25" s="932"/>
      <c r="F25" s="932"/>
      <c r="G25" s="592"/>
      <c r="H25" s="589"/>
      <c r="I25" s="587"/>
      <c r="J25" s="587"/>
    </row>
    <row r="26" spans="1:10" ht="13.8">
      <c r="A26" s="587"/>
      <c r="B26" s="587"/>
      <c r="C26" s="587"/>
      <c r="D26" s="587"/>
      <c r="E26" s="587"/>
      <c r="F26" s="593"/>
      <c r="G26" s="593"/>
      <c r="H26" s="590"/>
      <c r="I26" s="587"/>
      <c r="J26" s="587"/>
    </row>
    <row r="27" spans="1:10" ht="15" customHeight="1">
      <c r="A27" s="953"/>
      <c r="B27" s="953"/>
      <c r="C27" s="587"/>
      <c r="D27" s="587"/>
      <c r="E27" s="587"/>
      <c r="F27" s="593"/>
      <c r="G27" s="587"/>
      <c r="H27" s="591"/>
      <c r="I27" s="589"/>
      <c r="J27" s="587"/>
    </row>
    <row r="28" spans="1:10">
      <c r="B28" s="4"/>
    </row>
    <row r="29" spans="1:10">
      <c r="G29" s="2"/>
    </row>
  </sheetData>
  <mergeCells count="8">
    <mergeCell ref="A27:B27"/>
    <mergeCell ref="A1:H1"/>
    <mergeCell ref="A2:H2"/>
    <mergeCell ref="F4:G4"/>
    <mergeCell ref="A4:B4"/>
    <mergeCell ref="B5:C5"/>
    <mergeCell ref="B6:C6"/>
    <mergeCell ref="A25:F25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0"/>
  <sheetViews>
    <sheetView rightToLeft="1" view="pageBreakPreview" zoomScaleNormal="80" zoomScaleSheetLayoutView="100" workbookViewId="0">
      <selection activeCell="A3" sqref="A3:I3"/>
    </sheetView>
  </sheetViews>
  <sheetFormatPr defaultRowHeight="13.2"/>
  <cols>
    <col min="1" max="1" width="9.88671875" customWidth="1"/>
    <col min="2" max="2" width="9.109375" customWidth="1"/>
    <col min="3" max="3" width="11.44140625" customWidth="1"/>
    <col min="4" max="4" width="8.44140625" bestFit="1" customWidth="1"/>
    <col min="5" max="5" width="11.33203125" bestFit="1" customWidth="1"/>
    <col min="6" max="6" width="10.44140625" customWidth="1"/>
    <col min="7" max="7" width="12.5546875" customWidth="1"/>
    <col min="8" max="8" width="14.33203125" style="4" bestFit="1" customWidth="1"/>
    <col min="9" max="9" width="16" bestFit="1" customWidth="1"/>
    <col min="10" max="10" width="7.88671875" customWidth="1"/>
  </cols>
  <sheetData>
    <row r="1" spans="1:11" ht="25.5" customHeight="1">
      <c r="A1" s="893" t="s">
        <v>455</v>
      </c>
      <c r="B1" s="893"/>
      <c r="C1" s="893"/>
      <c r="D1" s="893"/>
      <c r="E1" s="893"/>
      <c r="F1" s="893"/>
      <c r="G1" s="893"/>
      <c r="H1" s="893"/>
      <c r="I1" s="893"/>
    </row>
    <row r="2" spans="1:11" s="4" customFormat="1" ht="1.5" customHeight="1">
      <c r="A2" s="506"/>
      <c r="B2" s="506"/>
      <c r="C2" s="506"/>
      <c r="D2" s="506"/>
      <c r="E2" s="506"/>
      <c r="F2" s="506"/>
      <c r="G2" s="506"/>
      <c r="H2" s="506"/>
      <c r="I2" s="506"/>
    </row>
    <row r="3" spans="1:11" ht="24.75" customHeight="1">
      <c r="A3" s="883" t="s">
        <v>484</v>
      </c>
      <c r="B3" s="883"/>
      <c r="C3" s="883"/>
      <c r="D3" s="883"/>
      <c r="E3" s="883"/>
      <c r="F3" s="883"/>
      <c r="G3" s="883"/>
      <c r="H3" s="883"/>
      <c r="I3" s="883"/>
    </row>
    <row r="4" spans="1:11" ht="24.75" customHeight="1" thickBot="1">
      <c r="A4" s="905" t="s">
        <v>405</v>
      </c>
      <c r="B4" s="905"/>
      <c r="C4" s="997" t="s">
        <v>163</v>
      </c>
      <c r="D4" s="997"/>
      <c r="E4" s="997"/>
      <c r="F4" s="992" t="s">
        <v>164</v>
      </c>
      <c r="G4" s="992"/>
      <c r="H4" s="992"/>
      <c r="I4" s="148" t="s">
        <v>408</v>
      </c>
    </row>
    <row r="5" spans="1:11" ht="21" customHeight="1">
      <c r="A5" s="23"/>
      <c r="B5" s="993" t="s">
        <v>229</v>
      </c>
      <c r="C5" s="993"/>
      <c r="D5" s="993" t="s">
        <v>230</v>
      </c>
      <c r="E5" s="993"/>
      <c r="F5" s="993" t="s">
        <v>236</v>
      </c>
      <c r="G5" s="993"/>
      <c r="H5" s="504"/>
      <c r="I5" s="23"/>
    </row>
    <row r="6" spans="1:11" s="110" customFormat="1" ht="13.8">
      <c r="A6" s="112"/>
      <c r="B6" s="999" t="s">
        <v>235</v>
      </c>
      <c r="C6" s="999"/>
      <c r="D6" s="999" t="s">
        <v>264</v>
      </c>
      <c r="E6" s="999"/>
      <c r="F6" s="998" t="s">
        <v>307</v>
      </c>
      <c r="G6" s="998"/>
      <c r="H6" s="505"/>
      <c r="I6" s="35" t="s">
        <v>193</v>
      </c>
      <c r="J6" s="145"/>
    </row>
    <row r="7" spans="1:11" ht="14.4" thickBot="1">
      <c r="A7" s="112"/>
      <c r="B7" s="216" t="s">
        <v>176</v>
      </c>
      <c r="C7" s="216" t="s">
        <v>215</v>
      </c>
      <c r="D7" s="216" t="s">
        <v>39</v>
      </c>
      <c r="E7" s="216" t="s">
        <v>215</v>
      </c>
      <c r="F7" s="216" t="s">
        <v>176</v>
      </c>
      <c r="G7" s="216" t="s">
        <v>215</v>
      </c>
      <c r="H7" s="392" t="s">
        <v>358</v>
      </c>
      <c r="I7" s="26"/>
    </row>
    <row r="8" spans="1:11" s="2" customFormat="1" ht="29.25" customHeight="1" thickBot="1">
      <c r="A8" s="196" t="s">
        <v>47</v>
      </c>
      <c r="B8" s="188" t="s">
        <v>119</v>
      </c>
      <c r="C8" s="346"/>
      <c r="D8" s="346" t="s">
        <v>40</v>
      </c>
      <c r="E8" s="346" t="s">
        <v>174</v>
      </c>
      <c r="F8" s="346" t="s">
        <v>119</v>
      </c>
      <c r="G8" s="346" t="s">
        <v>174</v>
      </c>
      <c r="H8" s="386" t="s">
        <v>174</v>
      </c>
      <c r="I8" s="350" t="s">
        <v>25</v>
      </c>
    </row>
    <row r="9" spans="1:11" s="239" customFormat="1" ht="13.8">
      <c r="A9" s="377" t="s">
        <v>328</v>
      </c>
      <c r="B9" s="378">
        <v>0</v>
      </c>
      <c r="C9" s="378">
        <f>B9*12</f>
        <v>0</v>
      </c>
      <c r="D9" s="333">
        <v>3943</v>
      </c>
      <c r="E9" s="333">
        <v>99419</v>
      </c>
      <c r="F9" s="378">
        <v>0</v>
      </c>
      <c r="G9" s="378">
        <v>0</v>
      </c>
      <c r="H9" s="338">
        <f>'مواد انشائيه1'!C9+'مواد انشائيه1'!E9+'مواد انشائيه1'!G9+'مواد انشائيه2'!C9+'مواد انشائيه2'!E9+'مواد انشائيه2'!G9+'مواد انشائيه2'!I9+'مواد انشائيه3'!C9+'مواد انشائيه3'!E9+'مواد انشائيه3'!G9+'مواد انشائيه4'!C9+'مواد انشائيه4'!E9+'مواد انشائيه4'!G9</f>
        <v>1790078</v>
      </c>
      <c r="I9" s="379" t="s">
        <v>378</v>
      </c>
      <c r="J9" s="380"/>
      <c r="K9" s="380"/>
    </row>
    <row r="10" spans="1:11" s="166" customFormat="1" ht="15" customHeight="1">
      <c r="A10" s="387" t="s">
        <v>29</v>
      </c>
      <c r="B10" s="388">
        <v>0</v>
      </c>
      <c r="C10" s="388">
        <v>0</v>
      </c>
      <c r="D10" s="365">
        <v>1060</v>
      </c>
      <c r="E10" s="365">
        <f>D10*12</f>
        <v>12720</v>
      </c>
      <c r="F10" s="388">
        <v>0</v>
      </c>
      <c r="G10" s="388">
        <v>0</v>
      </c>
      <c r="H10" s="365">
        <f>'مواد انشائيه1'!C10+'مواد انشائيه1'!E10+'مواد انشائيه1'!G10+'مواد انشائيه2'!C10+'مواد انشائيه2'!E10+'مواد انشائيه2'!G10+'مواد انشائيه2'!I10+'مواد انشائيه3'!C10+'مواد انشائيه3'!E10+'مواد انشائيه3'!G10+'مواد انشائيه4'!C10+'مواد انشائيه4'!E10+'مواد انشائيه4'!G10</f>
        <v>1121402</v>
      </c>
      <c r="I10" s="389" t="s">
        <v>30</v>
      </c>
      <c r="J10" s="381"/>
      <c r="K10" s="381"/>
    </row>
    <row r="11" spans="1:11" s="166" customFormat="1" ht="15" customHeight="1">
      <c r="A11" s="377" t="s">
        <v>3</v>
      </c>
      <c r="B11" s="378">
        <v>0</v>
      </c>
      <c r="C11" s="378">
        <v>0</v>
      </c>
      <c r="D11" s="333">
        <v>47</v>
      </c>
      <c r="E11" s="333">
        <v>954</v>
      </c>
      <c r="F11" s="378">
        <v>42</v>
      </c>
      <c r="G11" s="382">
        <v>2014</v>
      </c>
      <c r="H11" s="338">
        <f>'مواد انشائيه1'!C11+'مواد انشائيه1'!E11+'مواد انشائيه1'!G11+'مواد انشائيه2'!C11+'مواد انشائيه2'!E11+'مواد انشائيه2'!G11+'مواد انشائيه2'!I11+'مواد انشائيه3'!C11+'مواد انشائيه3'!E11+'مواد انشائيه3'!G11+'مواد انشائيه4'!C11+'مواد انشائيه4'!E11+'مواد انشائيه4'!G11</f>
        <v>1804178</v>
      </c>
      <c r="I11" s="379" t="s">
        <v>15</v>
      </c>
      <c r="J11" s="381"/>
      <c r="K11" s="381"/>
    </row>
    <row r="12" spans="1:11" s="166" customFormat="1" ht="15" customHeight="1">
      <c r="A12" s="387" t="s">
        <v>319</v>
      </c>
      <c r="B12" s="388">
        <v>0</v>
      </c>
      <c r="C12" s="388">
        <v>0</v>
      </c>
      <c r="D12" s="365">
        <v>0</v>
      </c>
      <c r="E12" s="365">
        <v>0</v>
      </c>
      <c r="F12" s="388">
        <v>0</v>
      </c>
      <c r="G12" s="388">
        <v>0</v>
      </c>
      <c r="H12" s="365">
        <f>'مواد انشائيه1'!C12+'مواد انشائيه1'!E12+'مواد انشائيه1'!G12+'مواد انشائيه2'!C12+'مواد انشائيه2'!E12+'مواد انشائيه2'!G12+'مواد انشائيه2'!I12+'مواد انشائيه3'!C12+'مواد انشائيه3'!E12+'مواد انشائيه3'!G12+'مواد انشائيه4'!C12+'مواد انشائيه4'!E12+'مواد انشائيه4'!G12</f>
        <v>1807011</v>
      </c>
      <c r="I12" s="389" t="s">
        <v>315</v>
      </c>
      <c r="J12" s="381"/>
      <c r="K12" s="381"/>
    </row>
    <row r="13" spans="1:11" s="166" customFormat="1" ht="15" customHeight="1">
      <c r="A13" s="377" t="s">
        <v>4</v>
      </c>
      <c r="B13" s="378">
        <v>24948</v>
      </c>
      <c r="C13" s="378">
        <f>B13*12</f>
        <v>299376</v>
      </c>
      <c r="D13" s="333">
        <v>40324</v>
      </c>
      <c r="E13" s="333">
        <v>1008287</v>
      </c>
      <c r="F13" s="378">
        <v>67495</v>
      </c>
      <c r="G13" s="382">
        <v>3260088</v>
      </c>
      <c r="H13" s="338">
        <f>'مواد انشائيه1'!C13+'مواد انشائيه1'!E13+'مواد انشائيه1'!G13+'مواد انشائيه2'!C13+'مواد انشائيه2'!E13+'مواد انشائيه2'!G13+'مواد انشائيه2'!I13+'مواد انشائيه3'!C13+'مواد انشائيه3'!E13+'مواد انشائيه3'!G13+'مواد انشائيه4'!C13+'مواد انشائيه4'!E13+'مواد انشائيه4'!G13</f>
        <v>43840497</v>
      </c>
      <c r="I13" s="379" t="s">
        <v>16</v>
      </c>
      <c r="J13" s="381"/>
      <c r="K13" s="381"/>
    </row>
    <row r="14" spans="1:11" s="166" customFormat="1" ht="14.25" customHeight="1">
      <c r="A14" s="387" t="s">
        <v>5</v>
      </c>
      <c r="B14" s="388">
        <v>0</v>
      </c>
      <c r="C14" s="388">
        <v>0</v>
      </c>
      <c r="D14" s="365">
        <v>0</v>
      </c>
      <c r="E14" s="365">
        <v>0</v>
      </c>
      <c r="F14" s="388">
        <v>0</v>
      </c>
      <c r="G14" s="388">
        <v>0</v>
      </c>
      <c r="H14" s="365">
        <f>'مواد انشائيه1'!C14+'مواد انشائيه1'!E14+'مواد انشائيه1'!G14+'مواد انشائيه2'!C14+'مواد انشائيه2'!E14+'مواد انشائيه2'!G14+'مواد انشائيه2'!I14+'مواد انشائيه3'!C14+'مواد انشائيه3'!E14+'مواد انشائيه3'!G14+'مواد انشائيه4'!C14+'مواد انشائيه4'!E14+'مواد انشائيه4'!G14</f>
        <v>1760806</v>
      </c>
      <c r="I14" s="389" t="s">
        <v>23</v>
      </c>
      <c r="J14" s="381"/>
      <c r="K14" s="381"/>
    </row>
    <row r="15" spans="1:11" s="166" customFormat="1" ht="15" customHeight="1">
      <c r="A15" s="377" t="s">
        <v>6</v>
      </c>
      <c r="B15" s="378">
        <v>0</v>
      </c>
      <c r="C15" s="378">
        <v>0</v>
      </c>
      <c r="D15" s="333">
        <v>0</v>
      </c>
      <c r="E15" s="333">
        <v>0</v>
      </c>
      <c r="F15" s="378">
        <v>274</v>
      </c>
      <c r="G15" s="382">
        <v>15092</v>
      </c>
      <c r="H15" s="338">
        <f>'مواد انشائيه1'!C15+'مواد انشائيه1'!E15+'مواد انشائيه1'!G15+'مواد انشائيه2'!C15+'مواد انشائيه2'!E15+'مواد انشائيه2'!G15+'مواد انشائيه2'!I15+'مواد انشائيه3'!C15+'مواد انشائيه3'!E15+'مواد انشائيه3'!G15+'مواد انشائيه4'!C15+'مواد انشائيه4'!E15+'مواد انشائيه4'!G15</f>
        <v>2266440</v>
      </c>
      <c r="I15" s="379" t="s">
        <v>379</v>
      </c>
      <c r="J15" s="381"/>
      <c r="K15" s="381"/>
    </row>
    <row r="16" spans="1:11" s="166" customFormat="1" ht="15" customHeight="1">
      <c r="A16" s="387" t="s">
        <v>11</v>
      </c>
      <c r="B16" s="388">
        <v>0</v>
      </c>
      <c r="C16" s="388">
        <v>0</v>
      </c>
      <c r="D16" s="365">
        <v>0</v>
      </c>
      <c r="E16" s="365">
        <v>0</v>
      </c>
      <c r="F16" s="388">
        <v>0</v>
      </c>
      <c r="G16" s="388">
        <v>0</v>
      </c>
      <c r="H16" s="365">
        <f>'مواد انشائيه1'!C16+'مواد انشائيه1'!E16+'مواد انشائيه1'!G16+'مواد انشائيه2'!C16+'مواد انشائيه2'!E16+'مواد انشائيه2'!G16+'مواد انشائيه2'!I16+'مواد انشائيه3'!C16+'مواد انشائيه3'!E16+'مواد انشائيه3'!G16+'مواد انشائيه4'!C16+'مواد انشائيه4'!E16+'مواد انشائيه4'!G16</f>
        <v>904404</v>
      </c>
      <c r="I16" s="389" t="s">
        <v>21</v>
      </c>
      <c r="J16" s="381"/>
      <c r="K16" s="381"/>
    </row>
    <row r="17" spans="1:11" s="166" customFormat="1" ht="15" customHeight="1">
      <c r="A17" s="377" t="s">
        <v>2</v>
      </c>
      <c r="B17" s="378">
        <v>0</v>
      </c>
      <c r="C17" s="378">
        <f>B17*12</f>
        <v>0</v>
      </c>
      <c r="D17" s="333">
        <v>0</v>
      </c>
      <c r="E17" s="333">
        <v>0</v>
      </c>
      <c r="F17" s="378">
        <v>0</v>
      </c>
      <c r="G17" s="382">
        <f>F17*30</f>
        <v>0</v>
      </c>
      <c r="H17" s="338">
        <f>'مواد انشائيه1'!C17+'مواد انشائيه1'!E17+'مواد انشائيه1'!G17+'مواد انشائيه2'!C17+'مواد انشائيه2'!E17+'مواد انشائيه2'!G17+'مواد انشائيه2'!I17+'مواد انشائيه3'!C17+'مواد انشائيه3'!E17+'مواد انشائيه3'!G17+'مواد انشائيه4'!C17+'مواد انشائيه4'!E17+'مواد انشائيه4'!G17</f>
        <v>465374</v>
      </c>
      <c r="I17" s="379" t="s">
        <v>14</v>
      </c>
      <c r="J17" s="381"/>
      <c r="K17" s="381"/>
    </row>
    <row r="18" spans="1:11" s="166" customFormat="1" ht="15" customHeight="1">
      <c r="A18" s="387" t="s">
        <v>7</v>
      </c>
      <c r="B18" s="388">
        <v>0</v>
      </c>
      <c r="C18" s="771">
        <v>0</v>
      </c>
      <c r="D18" s="365">
        <v>0</v>
      </c>
      <c r="E18" s="365">
        <v>0</v>
      </c>
      <c r="F18" s="388">
        <v>0</v>
      </c>
      <c r="G18" s="390">
        <v>0</v>
      </c>
      <c r="H18" s="365">
        <f>'مواد انشائيه1'!C18+'مواد انشائيه1'!E18+'مواد انشائيه1'!G18+'مواد انشائيه2'!C18+'مواد انشائيه2'!E18+'مواد انشائيه2'!G18+'مواد انشائيه2'!I18+'مواد انشائيه3'!C18+'مواد انشائيه3'!E18+'مواد انشائيه3'!G18+'مواد انشائيه4'!C18+'مواد انشائيه4'!E18+'مواد انشائيه4'!G18</f>
        <v>4006993</v>
      </c>
      <c r="I18" s="389" t="s">
        <v>17</v>
      </c>
      <c r="J18" s="381"/>
      <c r="K18" s="381"/>
    </row>
    <row r="19" spans="1:11" s="166" customFormat="1" ht="15" customHeight="1">
      <c r="A19" s="377" t="s">
        <v>8</v>
      </c>
      <c r="B19" s="378">
        <v>0</v>
      </c>
      <c r="C19" s="378">
        <v>0</v>
      </c>
      <c r="D19" s="333">
        <v>0</v>
      </c>
      <c r="E19" s="333">
        <v>0</v>
      </c>
      <c r="F19" s="378">
        <v>0</v>
      </c>
      <c r="G19" s="382">
        <v>0</v>
      </c>
      <c r="H19" s="338">
        <f>'مواد انشائيه1'!C19+'مواد انشائيه1'!E19+'مواد انشائيه1'!G19+'مواد انشائيه2'!C19+'مواد انشائيه2'!E19+'مواد انشائيه2'!G19+'مواد انشائيه2'!I19+'مواد انشائيه3'!C19+'مواد انشائيه3'!E19+'مواد انشائيه3'!G19+'مواد انشائيه4'!C19+'مواد انشائيه4'!E19+'مواد انشائيه4'!G19</f>
        <v>1414871</v>
      </c>
      <c r="I19" s="379" t="s">
        <v>18</v>
      </c>
      <c r="J19" s="381"/>
      <c r="K19" s="381"/>
    </row>
    <row r="20" spans="1:11" s="166" customFormat="1" ht="15" customHeight="1">
      <c r="A20" s="387" t="s">
        <v>9</v>
      </c>
      <c r="B20" s="388">
        <v>0</v>
      </c>
      <c r="C20" s="388">
        <v>0</v>
      </c>
      <c r="D20" s="365">
        <v>0</v>
      </c>
      <c r="E20" s="365">
        <v>0</v>
      </c>
      <c r="F20" s="388">
        <v>0</v>
      </c>
      <c r="G20" s="390">
        <v>0</v>
      </c>
      <c r="H20" s="365">
        <f>'مواد انشائيه1'!C20+'مواد انشائيه1'!E20+'مواد انشائيه1'!G20+'مواد انشائيه2'!C20+'مواد انشائيه2'!E20+'مواد انشائيه2'!G20+'مواد انشائيه2'!I20+'مواد انشائيه3'!C20+'مواد انشائيه3'!E20+'مواد انشائيه3'!G20+'مواد انشائيه4'!C20+'مواد انشائيه4'!E20+'مواد انشائيه4'!G20</f>
        <v>1091376</v>
      </c>
      <c r="I20" s="389" t="s">
        <v>19</v>
      </c>
      <c r="J20" s="381"/>
      <c r="K20" s="381"/>
    </row>
    <row r="21" spans="1:11" s="166" customFormat="1" ht="15" customHeight="1">
      <c r="A21" s="377" t="s">
        <v>10</v>
      </c>
      <c r="B21" s="378">
        <v>0</v>
      </c>
      <c r="C21" s="378">
        <v>0</v>
      </c>
      <c r="D21" s="333">
        <v>0</v>
      </c>
      <c r="E21" s="333">
        <v>0</v>
      </c>
      <c r="F21" s="378">
        <v>0</v>
      </c>
      <c r="G21" s="378">
        <v>0</v>
      </c>
      <c r="H21" s="338">
        <f>'مواد انشائيه1'!C21+'مواد انشائيه1'!E21+'مواد انشائيه1'!G21+'مواد انشائيه2'!C21+'مواد انشائيه2'!E21+'مواد انشائيه2'!G21+'مواد انشائيه2'!I21+'مواد انشائيه3'!C21+'مواد انشائيه3'!E21+'مواد انشائيه3'!G21+'مواد انشائيه4'!C21+'مواد انشائيه4'!E21+'مواد انشائيه4'!G21</f>
        <v>1655611</v>
      </c>
      <c r="I21" s="379" t="s">
        <v>20</v>
      </c>
      <c r="J21" s="381"/>
      <c r="K21" s="381"/>
    </row>
    <row r="22" spans="1:11" s="166" customFormat="1" ht="15" customHeight="1">
      <c r="A22" s="387" t="s">
        <v>12</v>
      </c>
      <c r="B22" s="388">
        <v>0</v>
      </c>
      <c r="C22" s="388">
        <v>0</v>
      </c>
      <c r="D22" s="365">
        <v>0</v>
      </c>
      <c r="E22" s="365">
        <v>0</v>
      </c>
      <c r="F22" s="388">
        <v>0</v>
      </c>
      <c r="G22" s="388">
        <v>0</v>
      </c>
      <c r="H22" s="365">
        <f>'مواد انشائيه1'!C22+'مواد انشائيه1'!E22+'مواد انشائيه1'!G22+'مواد انشائيه2'!C22+'مواد انشائيه2'!E22+'مواد انشائيه2'!G22+'مواد انشائيه2'!I22+'مواد انشائيه3'!C22+'مواد انشائيه3'!E22+'مواد انشائيه3'!G22+'مواد انشائيه4'!C22+'مواد انشائيه4'!E22+'مواد انشائيه4'!G22</f>
        <v>336762</v>
      </c>
      <c r="I22" s="389" t="s">
        <v>24</v>
      </c>
      <c r="J22" s="381"/>
      <c r="K22" s="381"/>
    </row>
    <row r="23" spans="1:11" s="166" customFormat="1" ht="15" customHeight="1" thickBot="1">
      <c r="A23" s="492" t="s">
        <v>13</v>
      </c>
      <c r="B23" s="493">
        <v>0</v>
      </c>
      <c r="C23" s="493">
        <v>0</v>
      </c>
      <c r="D23" s="333">
        <v>0</v>
      </c>
      <c r="E23" s="333">
        <v>0</v>
      </c>
      <c r="F23" s="493">
        <v>0</v>
      </c>
      <c r="G23" s="494">
        <v>0</v>
      </c>
      <c r="H23" s="338">
        <f>'مواد انشائيه1'!C23+'مواد انشائيه1'!E23+'مواد انشائيه1'!G23+'مواد انشائيه2'!C23+'مواد انشائيه2'!E23+'مواد انشائيه2'!G23+'مواد انشائيه2'!I23+'مواد انشائيه3'!C23+'مواد انشائيه3'!E23+'مواد انشائيه3'!G23+'مواد انشائيه4'!C23+'مواد انشائيه4'!E23+'مواد انشائيه4'!G23</f>
        <v>3735985</v>
      </c>
      <c r="I23" s="495" t="s">
        <v>22</v>
      </c>
      <c r="J23" s="381"/>
      <c r="K23" s="381"/>
    </row>
    <row r="24" spans="1:11" s="239" customFormat="1" ht="20.25" customHeight="1" thickBot="1">
      <c r="A24" s="383" t="s">
        <v>0</v>
      </c>
      <c r="B24" s="384">
        <f>SUM(B9:B23)</f>
        <v>24948</v>
      </c>
      <c r="C24" s="384">
        <f t="shared" ref="C24:H24" si="0">SUM(C9:C23)</f>
        <v>299376</v>
      </c>
      <c r="D24" s="384">
        <f t="shared" si="0"/>
        <v>45374</v>
      </c>
      <c r="E24" s="384">
        <f t="shared" si="0"/>
        <v>1121380</v>
      </c>
      <c r="F24" s="384">
        <f t="shared" si="0"/>
        <v>67811</v>
      </c>
      <c r="G24" s="384">
        <f t="shared" si="0"/>
        <v>3277194</v>
      </c>
      <c r="H24" s="384">
        <f t="shared" si="0"/>
        <v>68001788</v>
      </c>
      <c r="I24" s="385" t="s">
        <v>1</v>
      </c>
      <c r="J24" s="380"/>
      <c r="K24" s="380"/>
    </row>
    <row r="25" spans="1:11" s="4" customFormat="1" ht="20.25" customHeight="1">
      <c r="A25" s="932"/>
      <c r="B25" s="932"/>
      <c r="C25" s="932"/>
      <c r="D25" s="932"/>
      <c r="E25" s="932"/>
      <c r="F25" s="932"/>
      <c r="G25" s="932"/>
      <c r="H25" s="588"/>
      <c r="I25" s="589"/>
      <c r="J25" s="587"/>
    </row>
    <row r="26" spans="1:11" ht="13.8">
      <c r="A26" s="587"/>
      <c r="B26" s="587"/>
      <c r="C26" s="587"/>
      <c r="D26" s="587"/>
      <c r="E26" s="587"/>
      <c r="F26" s="587"/>
      <c r="G26" s="587"/>
      <c r="H26" s="587"/>
      <c r="I26" s="590"/>
      <c r="J26" s="587"/>
    </row>
    <row r="27" spans="1:11" ht="13.8">
      <c r="A27" s="953"/>
      <c r="B27" s="953"/>
      <c r="C27" s="587"/>
      <c r="D27" s="587"/>
      <c r="E27" s="587"/>
      <c r="F27" s="587"/>
      <c r="G27" s="587"/>
      <c r="H27" s="587"/>
      <c r="I27" s="591"/>
      <c r="J27" s="587"/>
    </row>
    <row r="28" spans="1:11">
      <c r="I28" s="4"/>
      <c r="J28" s="4"/>
    </row>
    <row r="29" spans="1:11">
      <c r="I29" s="4"/>
      <c r="J29" s="4"/>
    </row>
    <row r="30" spans="1:11" ht="13.5" customHeight="1"/>
  </sheetData>
  <mergeCells count="13">
    <mergeCell ref="A27:B27"/>
    <mergeCell ref="B5:C5"/>
    <mergeCell ref="D5:E5"/>
    <mergeCell ref="F5:G5"/>
    <mergeCell ref="F6:G6"/>
    <mergeCell ref="A25:G25"/>
    <mergeCell ref="D6:E6"/>
    <mergeCell ref="B6:C6"/>
    <mergeCell ref="A1:I1"/>
    <mergeCell ref="A3:I3"/>
    <mergeCell ref="A4:B4"/>
    <mergeCell ref="C4:E4"/>
    <mergeCell ref="F4:H4"/>
  </mergeCells>
  <phoneticPr fontId="3" type="noConversion"/>
  <printOptions horizontalCentered="1" verticalCentered="1"/>
  <pageMargins left="0.79" right="0.56999999999999995" top="0.91" bottom="0.81" header="0.19685039370078741" footer="0.78740157480314965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D27"/>
  <sheetViews>
    <sheetView rightToLeft="1" view="pageBreakPreview" zoomScaleNormal="80" zoomScaleSheetLayoutView="100" workbookViewId="0">
      <selection activeCell="A2" sqref="A2:E2"/>
    </sheetView>
  </sheetViews>
  <sheetFormatPr defaultRowHeight="13.2"/>
  <cols>
    <col min="1" max="1" width="16.5546875" customWidth="1"/>
    <col min="2" max="2" width="27.6640625" customWidth="1"/>
    <col min="3" max="3" width="27.33203125" customWidth="1"/>
    <col min="4" max="4" width="23.6640625" customWidth="1"/>
    <col min="5" max="5" width="16.88671875" customWidth="1"/>
    <col min="6" max="6" width="7.88671875" customWidth="1"/>
    <col min="7" max="7" width="2.6640625" customWidth="1"/>
    <col min="8" max="8" width="7.6640625" customWidth="1"/>
    <col min="9" max="15" width="10.6640625" customWidth="1"/>
  </cols>
  <sheetData>
    <row r="1" spans="1:30" ht="13.8">
      <c r="A1" s="893" t="s">
        <v>458</v>
      </c>
      <c r="B1" s="893"/>
      <c r="C1" s="893"/>
      <c r="D1" s="893"/>
      <c r="E1" s="893"/>
    </row>
    <row r="2" spans="1:30" ht="12.75" customHeight="1">
      <c r="A2" s="1000" t="s">
        <v>485</v>
      </c>
      <c r="B2" s="1000"/>
      <c r="C2" s="1000"/>
      <c r="D2" s="1000"/>
      <c r="E2" s="1000"/>
    </row>
    <row r="3" spans="1:30" s="4" customFormat="1" ht="14.25" customHeight="1">
      <c r="A3" s="135"/>
      <c r="B3" s="135"/>
      <c r="C3" s="135"/>
      <c r="D3" s="940" t="s">
        <v>361</v>
      </c>
      <c r="E3" s="940"/>
    </row>
    <row r="4" spans="1:30" ht="19.5" customHeight="1" thickBot="1">
      <c r="A4" s="905" t="s">
        <v>417</v>
      </c>
      <c r="B4" s="905"/>
      <c r="C4" s="43"/>
      <c r="D4" s="10"/>
      <c r="E4" s="44" t="s"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0" s="278" customFormat="1" ht="15" customHeight="1">
      <c r="A5" s="313"/>
      <c r="B5" s="314" t="s">
        <v>92</v>
      </c>
      <c r="C5" s="314" t="s">
        <v>93</v>
      </c>
      <c r="D5" s="314" t="s">
        <v>94</v>
      </c>
      <c r="E5" s="315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</row>
    <row r="6" spans="1:30" s="2" customFormat="1" ht="45.75" customHeight="1" thickBot="1">
      <c r="A6" s="421" t="s">
        <v>47</v>
      </c>
      <c r="B6" s="496" t="s">
        <v>309</v>
      </c>
      <c r="C6" s="418" t="s">
        <v>95</v>
      </c>
      <c r="D6" s="418" t="s">
        <v>308</v>
      </c>
      <c r="E6" s="444" t="s">
        <v>25</v>
      </c>
    </row>
    <row r="7" spans="1:30" s="239" customFormat="1" ht="15" customHeight="1" thickTop="1">
      <c r="A7" s="404" t="s">
        <v>328</v>
      </c>
      <c r="B7" s="316">
        <f>طابوق!I9+بلوك!I9+حجر!G9+حصى!G9+رمل!G9+سمنت!I9+جص!G9+كاشي2!I9+حديد!F9+ابواب!K9+شبابيك!G9+ت.كهربائيه2!F9+ت.صحيه3!H9+'الكلفه الكليه'!H9</f>
        <v>17218102</v>
      </c>
      <c r="C7" s="316">
        <v>12060727</v>
      </c>
      <c r="D7" s="316">
        <f>B7+C7</f>
        <v>29278829</v>
      </c>
      <c r="E7" s="405" t="s">
        <v>378</v>
      </c>
      <c r="F7" s="531"/>
    </row>
    <row r="8" spans="1:30" s="166" customFormat="1" ht="15" customHeight="1">
      <c r="A8" s="374" t="s">
        <v>29</v>
      </c>
      <c r="B8" s="49">
        <f>طابوق!I10+بلوك!I10+حجر!G10+حصى!G10+رمل!G10+سمنت!I10+جص!G10+كاشي2!I10+حديد!F10+ابواب!K10+شبابيك!G10+ت.كهربائيه2!F10+ت.صحيه3!H10+'الكلفه الكليه'!H10</f>
        <v>12598676</v>
      </c>
      <c r="C8" s="49">
        <v>16955804</v>
      </c>
      <c r="D8" s="49">
        <f t="shared" ref="D8:D21" si="0">B8+C8</f>
        <v>29554480</v>
      </c>
      <c r="E8" s="7" t="s">
        <v>30</v>
      </c>
      <c r="F8" s="531"/>
    </row>
    <row r="9" spans="1:30" s="166" customFormat="1" ht="15" customHeight="1">
      <c r="A9" s="240" t="s">
        <v>3</v>
      </c>
      <c r="B9" s="316">
        <f>طابوق!I11+بلوك!I11+حجر!G11+حصى!G11+رمل!G11+سمنت!I11+جص!G11+كاشي2!I11+حديد!F11+ابواب!K11+شبابيك!G11+ت.كهربائيه2!F11+ت.صحيه3!H11+'الكلفه الكليه'!H11</f>
        <v>34006353</v>
      </c>
      <c r="C9" s="233">
        <v>71961631</v>
      </c>
      <c r="D9" s="316">
        <f t="shared" si="0"/>
        <v>105967984</v>
      </c>
      <c r="E9" s="241" t="s">
        <v>15</v>
      </c>
      <c r="F9" s="531"/>
    </row>
    <row r="10" spans="1:30" s="166" customFormat="1" ht="15" customHeight="1">
      <c r="A10" s="374" t="s">
        <v>319</v>
      </c>
      <c r="B10" s="49">
        <f>طابوق!I12+بلوك!I12+حجر!G12+حصى!G12+رمل!G12+سمنت!I12+جص!G12+كاشي2!I12+حديد!F12+ابواب!K12+شبابيك!G12+ت.كهربائيه2!F12+ت.صحيه3!H12+'الكلفه الكليه'!H12</f>
        <v>28668597</v>
      </c>
      <c r="C10" s="49">
        <v>15229341</v>
      </c>
      <c r="D10" s="49">
        <f t="shared" si="0"/>
        <v>43897938</v>
      </c>
      <c r="E10" s="7" t="s">
        <v>315</v>
      </c>
      <c r="F10" s="531"/>
    </row>
    <row r="11" spans="1:30" s="166" customFormat="1" ht="15" customHeight="1">
      <c r="A11" s="232" t="s">
        <v>4</v>
      </c>
      <c r="B11" s="316">
        <f>طابوق!I13+بلوك!I13+حجر!G13+حصى!G13+رمل!G13+سمنت!I13+جص!G13+كاشي2!I13+حديد!F13+ابواب!K13+شبابيك!G13+ت.كهربائيه2!F13+ت.صحيه3!H13+'الكلفه الكليه'!H13</f>
        <v>152237539</v>
      </c>
      <c r="C11" s="233">
        <v>194319275</v>
      </c>
      <c r="D11" s="233">
        <f t="shared" si="0"/>
        <v>346556814</v>
      </c>
      <c r="E11" s="237" t="s">
        <v>16</v>
      </c>
      <c r="F11" s="531"/>
    </row>
    <row r="12" spans="1:30" s="166" customFormat="1" ht="15" customHeight="1">
      <c r="A12" s="323" t="s">
        <v>5</v>
      </c>
      <c r="B12" s="49">
        <f>طابوق!I14+بلوك!I14+حجر!G14+حصى!G14+رمل!G14+سمنت!I14+جص!G14+كاشي2!I14+حديد!F14+ابواب!K14+شبابيك!G14+ت.كهربائيه2!F14+ت.صحيه3!H14+'الكلفه الكليه'!H14</f>
        <v>31056373</v>
      </c>
      <c r="C12" s="49">
        <v>13494003</v>
      </c>
      <c r="D12" s="49">
        <f t="shared" si="0"/>
        <v>44550376</v>
      </c>
      <c r="E12" s="317" t="s">
        <v>23</v>
      </c>
      <c r="F12" s="531"/>
    </row>
    <row r="13" spans="1:30" s="166" customFormat="1" ht="15" customHeight="1">
      <c r="A13" s="232" t="s">
        <v>6</v>
      </c>
      <c r="B13" s="316">
        <f>طابوق!I15+بلوك!I15+حجر!G15+حصى!G15+رمل!G15+سمنت!I15+جص!G15+كاشي2!I15+حديد!F15+ابواب!K15+شبابيك!G15+ت.كهربائيه2!F15+ت.صحيه3!H15+'الكلفه الكليه'!H15</f>
        <v>28046152</v>
      </c>
      <c r="C13" s="233">
        <v>12883093</v>
      </c>
      <c r="D13" s="316">
        <f t="shared" si="0"/>
        <v>40929245</v>
      </c>
      <c r="E13" s="237" t="s">
        <v>379</v>
      </c>
      <c r="F13" s="531"/>
    </row>
    <row r="14" spans="1:30" s="166" customFormat="1" ht="12.75" customHeight="1">
      <c r="A14" s="323" t="s">
        <v>11</v>
      </c>
      <c r="B14" s="49">
        <f>طابوق!I16+بلوك!I16+حجر!G16+حصى!G16+رمل!G16+سمنت!I16+جص!G16+كاشي2!I16+حديد!F16+ابواب!K16+شبابيك!G16+ت.كهربائيه2!F16+ت.صحيه3!H16+'الكلفه الكليه'!H16</f>
        <v>18636294</v>
      </c>
      <c r="C14" s="49">
        <v>19709528</v>
      </c>
      <c r="D14" s="49">
        <f t="shared" si="0"/>
        <v>38345822</v>
      </c>
      <c r="E14" s="317" t="s">
        <v>21</v>
      </c>
      <c r="F14" s="531"/>
    </row>
    <row r="15" spans="1:30" s="166" customFormat="1" ht="21.75" customHeight="1">
      <c r="A15" s="232" t="s">
        <v>2</v>
      </c>
      <c r="B15" s="316">
        <f>طابوق!I17+بلوك!I17+حجر!G17+حصى!G17+رمل!G17+سمنت!I17+جص!G17+كاشي2!I17+حديد!F17+ابواب!K17+شبابيك!G17+ت.كهربائيه2!F17+ت.صحيه3!H17+'الكلفه الكليه'!H17</f>
        <v>10148251</v>
      </c>
      <c r="C15" s="233">
        <v>4159780</v>
      </c>
      <c r="D15" s="316">
        <f t="shared" si="0"/>
        <v>14308031</v>
      </c>
      <c r="E15" s="237" t="s">
        <v>14</v>
      </c>
      <c r="F15" s="531"/>
    </row>
    <row r="16" spans="1:30" s="166" customFormat="1" ht="15" customHeight="1">
      <c r="A16" s="323" t="s">
        <v>7</v>
      </c>
      <c r="B16" s="49">
        <f>طابوق!I18+بلوك!I18+حجر!G18+حصى!G18+رمل!G18+سمنت!I18+جص!G18+كاشي2!I18+حديد!F18+ابواب!K18+شبابيك!G18+ت.كهربائيه2!F18+ت.صحيه3!H18+'الكلفه الكليه'!H18</f>
        <v>35032503</v>
      </c>
      <c r="C16" s="49">
        <v>39388980</v>
      </c>
      <c r="D16" s="49">
        <f t="shared" si="0"/>
        <v>74421483</v>
      </c>
      <c r="E16" s="317" t="s">
        <v>17</v>
      </c>
      <c r="F16" s="531"/>
    </row>
    <row r="17" spans="1:10" s="166" customFormat="1" ht="14.25" customHeight="1">
      <c r="A17" s="375" t="s">
        <v>8</v>
      </c>
      <c r="B17" s="316">
        <f>طابوق!I19+بلوك!I19+حجر!G19+حصى!G19+رمل!G19+سمنت!I19+جص!G19+كاشي2!I19+حديد!F19+ابواب!K19+شبابيك!G19+ت.كهربائيه2!F19+ت.صحيه3!H19+'الكلفه الكليه'!H19</f>
        <v>21006421</v>
      </c>
      <c r="C17" s="316">
        <v>6970646</v>
      </c>
      <c r="D17" s="316">
        <f t="shared" si="0"/>
        <v>27977067</v>
      </c>
      <c r="E17" s="376" t="s">
        <v>18</v>
      </c>
      <c r="F17" s="531"/>
    </row>
    <row r="18" spans="1:10" s="166" customFormat="1" ht="16.5" customHeight="1">
      <c r="A18" s="323" t="s">
        <v>9</v>
      </c>
      <c r="B18" s="49">
        <f>طابوق!I20+بلوك!I20+حجر!G20+حصى!G20+رمل!G20+سمنت!I20+جص!G20+كاشي2!I20+حديد!F20+ابواب!K20+شبابيك!G20+ت.كهربائيه2!F20+ت.صحيه3!H20+'الكلفه الكليه'!H20</f>
        <v>14251555</v>
      </c>
      <c r="C18" s="578">
        <v>7534541</v>
      </c>
      <c r="D18" s="49">
        <f t="shared" si="0"/>
        <v>21786096</v>
      </c>
      <c r="E18" s="317" t="s">
        <v>19</v>
      </c>
      <c r="F18" s="531"/>
    </row>
    <row r="19" spans="1:10" s="166" customFormat="1" ht="16.5" customHeight="1">
      <c r="A19" s="232" t="s">
        <v>10</v>
      </c>
      <c r="B19" s="316">
        <f>طابوق!I21+بلوك!I21+حجر!G21+حصى!G21+رمل!G21+سمنت!I21+جص!G21+كاشي2!I21+حديد!F21+ابواب!K21+شبابيك!G21+ت.كهربائيه2!F21+ت.صحيه3!H21+'الكلفه الكليه'!H21</f>
        <v>23105810</v>
      </c>
      <c r="C19" s="233">
        <v>17303862</v>
      </c>
      <c r="D19" s="316">
        <f t="shared" si="0"/>
        <v>40409672</v>
      </c>
      <c r="E19" s="237" t="s">
        <v>20</v>
      </c>
      <c r="F19" s="531"/>
    </row>
    <row r="20" spans="1:10" s="166" customFormat="1" ht="13.8">
      <c r="A20" s="323" t="s">
        <v>12</v>
      </c>
      <c r="B20" s="49">
        <f>طابوق!I22+بلوك!I22+حجر!G22+حصى!G22+رمل!G22+سمنت!I22+جص!G22+كاشي2!I22+حديد!F22+ابواب!K22+شبابيك!G22+ت.كهربائيه2!F22+ت.صحيه3!H22+'الكلفه الكليه'!H22</f>
        <v>5438056.5</v>
      </c>
      <c r="C20" s="49">
        <v>2698427</v>
      </c>
      <c r="D20" s="49">
        <f t="shared" si="0"/>
        <v>8136483.5</v>
      </c>
      <c r="E20" s="317" t="s">
        <v>24</v>
      </c>
      <c r="F20" s="531"/>
    </row>
    <row r="21" spans="1:10" s="166" customFormat="1" ht="14.4" thickBot="1">
      <c r="A21" s="412" t="s">
        <v>13</v>
      </c>
      <c r="B21" s="316">
        <f>طابوق!I23+بلوك!I23+حجر!G23+حصى!G23+رمل!G23+سمنت!I23+جص!G23+كاشي2!I23+حديد!F23+ابواب!K23+شبابيك!G23+ت.كهربائيه2!F23+ت.صحيه3!H23+'الكلفه الكليه'!H23</f>
        <v>51710609</v>
      </c>
      <c r="C21" s="422">
        <v>55957307</v>
      </c>
      <c r="D21" s="316">
        <f t="shared" si="0"/>
        <v>107667916</v>
      </c>
      <c r="E21" s="413" t="s">
        <v>22</v>
      </c>
      <c r="F21" s="531"/>
    </row>
    <row r="22" spans="1:10" s="239" customFormat="1" ht="19.5" customHeight="1" thickBot="1">
      <c r="A22" s="394" t="s">
        <v>0</v>
      </c>
      <c r="B22" s="252">
        <f>SUM(B7:B21)</f>
        <v>483161291.5</v>
      </c>
      <c r="C22" s="252">
        <f t="shared" ref="C22:D22" si="1">SUM(C7:C21)</f>
        <v>490626945</v>
      </c>
      <c r="D22" s="252">
        <f t="shared" si="1"/>
        <v>973788236.5</v>
      </c>
      <c r="E22" s="395" t="s">
        <v>1</v>
      </c>
    </row>
    <row r="23" spans="1:10" ht="13.8">
      <c r="C23" s="4"/>
      <c r="D23" s="4"/>
      <c r="E23" s="12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mergeCells count="4">
    <mergeCell ref="A1:E1"/>
    <mergeCell ref="A4:B4"/>
    <mergeCell ref="D3:E3"/>
    <mergeCell ref="A2:E2"/>
  </mergeCells>
  <phoneticPr fontId="3" type="noConversion"/>
  <printOptions horizontalCentered="1" verticalCentered="1"/>
  <pageMargins left="0.36" right="1.02" top="1" bottom="0.82" header="0.19685039370078741" footer="0.78740157480314965"/>
  <pageSetup paperSize="9" orientation="landscape" r:id="rId1"/>
  <headerFooter alignWithMargins="0"/>
  <ignoredErrors>
    <ignoredError sqref="B22" evalError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J27"/>
  <sheetViews>
    <sheetView topLeftCell="AE1" workbookViewId="0">
      <selection activeCell="C18" sqref="C18"/>
    </sheetView>
  </sheetViews>
  <sheetFormatPr defaultRowHeight="13.2"/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J27"/>
  <sheetViews>
    <sheetView workbookViewId="0">
      <selection activeCell="C18" sqref="C18"/>
    </sheetView>
  </sheetViews>
  <sheetFormatPr defaultRowHeight="13.2"/>
  <sheetData>
    <row r="18" spans="1:10">
      <c r="C18" s="587"/>
    </row>
    <row r="25" spans="1:10">
      <c r="A25" s="587"/>
      <c r="B25" s="587"/>
      <c r="C25" s="587"/>
      <c r="D25" s="587"/>
      <c r="E25" s="587"/>
      <c r="F25" s="587"/>
      <c r="G25" s="587"/>
      <c r="H25" s="587"/>
      <c r="I25" s="587"/>
      <c r="J25" s="587"/>
    </row>
    <row r="26" spans="1:10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</sheetData>
  <printOptions horizontalCentered="1" verticalCentered="1"/>
  <pageMargins left="0.23622047244094491" right="1.0629921259842521" top="1.3779527559055118" bottom="1.8110236220472442" header="0.19685039370078741" footer="0.78740157480314965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N27"/>
  <sheetViews>
    <sheetView rightToLeft="1" view="pageBreakPreview" zoomScaleNormal="80" zoomScaleSheetLayoutView="100" workbookViewId="0">
      <selection activeCell="A2" sqref="A2:G3"/>
    </sheetView>
  </sheetViews>
  <sheetFormatPr defaultRowHeight="13.2"/>
  <cols>
    <col min="1" max="1" width="15.33203125" customWidth="1"/>
    <col min="2" max="2" width="14.88671875" customWidth="1"/>
    <col min="3" max="3" width="13.5546875" customWidth="1"/>
    <col min="4" max="4" width="15.109375" style="4" customWidth="1"/>
    <col min="5" max="5" width="18" style="4" customWidth="1"/>
    <col min="6" max="6" width="18" customWidth="1"/>
    <col min="7" max="7" width="16.33203125" customWidth="1"/>
    <col min="9" max="9" width="13.33203125" bestFit="1" customWidth="1"/>
    <col min="10" max="10" width="16.5546875" bestFit="1" customWidth="1"/>
  </cols>
  <sheetData>
    <row r="1" spans="1:14" ht="13.8">
      <c r="A1" s="899" t="s">
        <v>421</v>
      </c>
      <c r="B1" s="899"/>
      <c r="C1" s="899"/>
      <c r="D1" s="899"/>
      <c r="E1" s="899"/>
      <c r="F1" s="899"/>
      <c r="G1" s="899"/>
    </row>
    <row r="2" spans="1:14" ht="18" customHeight="1">
      <c r="A2" s="900" t="s">
        <v>463</v>
      </c>
      <c r="B2" s="900"/>
      <c r="C2" s="900"/>
      <c r="D2" s="900"/>
      <c r="E2" s="900"/>
      <c r="F2" s="900"/>
      <c r="G2" s="900"/>
    </row>
    <row r="3" spans="1:14" ht="12" customHeight="1">
      <c r="A3" s="900"/>
      <c r="B3" s="900"/>
      <c r="C3" s="900"/>
      <c r="D3" s="900"/>
      <c r="E3" s="900"/>
      <c r="F3" s="900"/>
      <c r="G3" s="900"/>
    </row>
    <row r="4" spans="1:14" s="4" customFormat="1" ht="12" customHeight="1">
      <c r="B4" s="136"/>
      <c r="C4" s="136"/>
      <c r="D4" s="153"/>
      <c r="E4" s="153"/>
      <c r="F4" s="136"/>
      <c r="G4" s="144" t="s">
        <v>193</v>
      </c>
    </row>
    <row r="5" spans="1:14" ht="18.75" customHeight="1" thickBot="1">
      <c r="A5" s="667" t="s">
        <v>385</v>
      </c>
      <c r="B5" s="902" t="s">
        <v>386</v>
      </c>
      <c r="C5" s="902"/>
      <c r="D5" s="154"/>
      <c r="E5" s="154"/>
      <c r="F5" s="898" t="s">
        <v>296</v>
      </c>
      <c r="G5" s="898"/>
    </row>
    <row r="6" spans="1:14" s="110" customFormat="1" ht="15" customHeight="1">
      <c r="A6" s="227"/>
      <c r="B6" s="228" t="s">
        <v>64</v>
      </c>
      <c r="C6" s="229" t="s">
        <v>72</v>
      </c>
      <c r="D6" s="229" t="s">
        <v>73</v>
      </c>
      <c r="E6" s="229" t="s">
        <v>78</v>
      </c>
      <c r="F6" s="229" t="s">
        <v>79</v>
      </c>
      <c r="G6" s="230"/>
    </row>
    <row r="7" spans="1:14" ht="15" customHeight="1">
      <c r="A7" s="12"/>
      <c r="B7" s="158" t="s">
        <v>27</v>
      </c>
      <c r="C7" s="13" t="s">
        <v>147</v>
      </c>
      <c r="D7" s="13" t="s">
        <v>132</v>
      </c>
      <c r="E7" s="13" t="s">
        <v>124</v>
      </c>
      <c r="F7" s="13" t="s">
        <v>126</v>
      </c>
      <c r="G7" s="35"/>
    </row>
    <row r="8" spans="1:14" ht="15" customHeight="1">
      <c r="A8" s="155" t="s">
        <v>77</v>
      </c>
      <c r="B8" s="155" t="s">
        <v>120</v>
      </c>
      <c r="C8" s="155" t="s">
        <v>120</v>
      </c>
      <c r="D8" s="155" t="s">
        <v>120</v>
      </c>
      <c r="E8" s="155" t="s">
        <v>119</v>
      </c>
      <c r="F8" s="156"/>
      <c r="G8" s="157" t="s">
        <v>25</v>
      </c>
    </row>
    <row r="9" spans="1:14" s="166" customFormat="1" ht="15" customHeight="1">
      <c r="A9" s="232" t="s">
        <v>328</v>
      </c>
      <c r="B9" s="247">
        <v>57</v>
      </c>
      <c r="C9" s="233">
        <v>347</v>
      </c>
      <c r="D9" s="233">
        <v>0</v>
      </c>
      <c r="E9" s="233">
        <v>934734</v>
      </c>
      <c r="F9" s="233">
        <v>3620787.05</v>
      </c>
      <c r="G9" s="247" t="s">
        <v>378</v>
      </c>
      <c r="I9" s="244"/>
      <c r="J9" s="244"/>
    </row>
    <row r="10" spans="1:14" s="166" customFormat="1" ht="15" customHeight="1">
      <c r="A10" s="362" t="s">
        <v>29</v>
      </c>
      <c r="B10" s="122">
        <v>156</v>
      </c>
      <c r="C10" s="49">
        <v>1088</v>
      </c>
      <c r="D10" s="49">
        <v>0</v>
      </c>
      <c r="E10" s="49">
        <v>2885763</v>
      </c>
      <c r="F10" s="49">
        <v>12546583</v>
      </c>
      <c r="G10" s="122" t="s">
        <v>30</v>
      </c>
      <c r="I10" s="244"/>
      <c r="J10" s="244"/>
    </row>
    <row r="11" spans="1:14" s="166" customFormat="1" ht="15" customHeight="1">
      <c r="A11" s="232" t="s">
        <v>3</v>
      </c>
      <c r="B11" s="247">
        <v>119</v>
      </c>
      <c r="C11" s="233">
        <v>615</v>
      </c>
      <c r="D11" s="233">
        <v>0</v>
      </c>
      <c r="E11" s="233">
        <v>2032579</v>
      </c>
      <c r="F11" s="233">
        <v>6326207</v>
      </c>
      <c r="G11" s="247" t="s">
        <v>15</v>
      </c>
      <c r="I11" s="244"/>
      <c r="J11" s="244"/>
      <c r="N11" s="166">
        <v>1000</v>
      </c>
    </row>
    <row r="12" spans="1:14" s="166" customFormat="1" ht="15" customHeight="1">
      <c r="A12" s="362" t="s">
        <v>314</v>
      </c>
      <c r="B12" s="122">
        <v>14</v>
      </c>
      <c r="C12" s="49">
        <v>52</v>
      </c>
      <c r="D12" s="49">
        <v>0</v>
      </c>
      <c r="E12" s="49">
        <v>2099</v>
      </c>
      <c r="F12" s="49">
        <v>705250</v>
      </c>
      <c r="G12" s="122" t="s">
        <v>315</v>
      </c>
      <c r="I12" s="244"/>
      <c r="J12" s="244"/>
    </row>
    <row r="13" spans="1:14" s="166" customFormat="1" ht="15" customHeight="1">
      <c r="A13" s="232" t="s">
        <v>4</v>
      </c>
      <c r="B13" s="247">
        <v>238</v>
      </c>
      <c r="C13" s="233">
        <v>1439</v>
      </c>
      <c r="D13" s="233">
        <v>0</v>
      </c>
      <c r="E13" s="233">
        <v>5163617</v>
      </c>
      <c r="F13" s="233">
        <v>20647510</v>
      </c>
      <c r="G13" s="247" t="s">
        <v>16</v>
      </c>
      <c r="I13" s="244"/>
      <c r="J13" s="244"/>
    </row>
    <row r="14" spans="1:14" s="166" customFormat="1" ht="15" customHeight="1">
      <c r="A14" s="362" t="s">
        <v>5</v>
      </c>
      <c r="B14" s="122">
        <v>84</v>
      </c>
      <c r="C14" s="49">
        <v>483</v>
      </c>
      <c r="D14" s="49">
        <v>0</v>
      </c>
      <c r="E14" s="49">
        <v>1377090</v>
      </c>
      <c r="F14" s="49">
        <v>5425117.5</v>
      </c>
      <c r="G14" s="122" t="s">
        <v>23</v>
      </c>
      <c r="I14" s="244"/>
      <c r="J14" s="244"/>
    </row>
    <row r="15" spans="1:14" s="166" customFormat="1" ht="15" customHeight="1">
      <c r="A15" s="232" t="s">
        <v>6</v>
      </c>
      <c r="B15" s="247">
        <v>314</v>
      </c>
      <c r="C15" s="233">
        <v>1886</v>
      </c>
      <c r="D15" s="233">
        <v>0</v>
      </c>
      <c r="E15" s="233">
        <v>5384082</v>
      </c>
      <c r="F15" s="233">
        <v>17842482</v>
      </c>
      <c r="G15" s="247" t="s">
        <v>379</v>
      </c>
      <c r="I15" s="244"/>
      <c r="J15" s="244"/>
    </row>
    <row r="16" spans="1:14" s="166" customFormat="1" ht="15" customHeight="1">
      <c r="A16" s="362" t="s">
        <v>11</v>
      </c>
      <c r="B16" s="122">
        <v>217</v>
      </c>
      <c r="C16" s="49">
        <v>1192</v>
      </c>
      <c r="D16" s="49">
        <v>0</v>
      </c>
      <c r="E16" s="49">
        <v>3692871</v>
      </c>
      <c r="F16" s="49">
        <v>13000378.300000001</v>
      </c>
      <c r="G16" s="122" t="s">
        <v>21</v>
      </c>
      <c r="I16" s="244"/>
      <c r="J16" s="244"/>
    </row>
    <row r="17" spans="1:10" s="166" customFormat="1" ht="15" customHeight="1">
      <c r="A17" s="232" t="s">
        <v>2</v>
      </c>
      <c r="B17" s="247">
        <v>33</v>
      </c>
      <c r="C17" s="233">
        <v>145</v>
      </c>
      <c r="D17" s="233">
        <v>0</v>
      </c>
      <c r="E17" s="233">
        <v>554423</v>
      </c>
      <c r="F17" s="233">
        <v>2025381.5</v>
      </c>
      <c r="G17" s="247" t="s">
        <v>14</v>
      </c>
      <c r="I17" s="244"/>
      <c r="J17" s="244"/>
    </row>
    <row r="18" spans="1:10" s="166" customFormat="1" ht="15" customHeight="1">
      <c r="A18" s="362" t="s">
        <v>7</v>
      </c>
      <c r="B18" s="122">
        <v>157</v>
      </c>
      <c r="C18" s="578">
        <v>907</v>
      </c>
      <c r="D18" s="49">
        <v>0</v>
      </c>
      <c r="E18" s="49">
        <v>2463678</v>
      </c>
      <c r="F18" s="49">
        <v>11307786</v>
      </c>
      <c r="G18" s="122" t="s">
        <v>17</v>
      </c>
      <c r="I18" s="244"/>
      <c r="J18" s="244"/>
    </row>
    <row r="19" spans="1:10" s="166" customFormat="1" ht="15" customHeight="1">
      <c r="A19" s="232" t="s">
        <v>8</v>
      </c>
      <c r="B19" s="247">
        <v>281</v>
      </c>
      <c r="C19" s="233">
        <v>1306</v>
      </c>
      <c r="D19" s="233">
        <v>0</v>
      </c>
      <c r="E19" s="233">
        <v>3386620</v>
      </c>
      <c r="F19" s="233">
        <v>11294224</v>
      </c>
      <c r="G19" s="247" t="s">
        <v>18</v>
      </c>
      <c r="I19" s="244"/>
      <c r="J19" s="244"/>
    </row>
    <row r="20" spans="1:10" s="166" customFormat="1" ht="15" customHeight="1">
      <c r="A20" s="362" t="s">
        <v>9</v>
      </c>
      <c r="B20" s="122">
        <v>24</v>
      </c>
      <c r="C20" s="49">
        <v>94</v>
      </c>
      <c r="D20" s="49">
        <v>0</v>
      </c>
      <c r="E20" s="49">
        <v>304120</v>
      </c>
      <c r="F20" s="49">
        <v>989160</v>
      </c>
      <c r="G20" s="122" t="s">
        <v>19</v>
      </c>
      <c r="I20" s="244"/>
      <c r="J20" s="244"/>
    </row>
    <row r="21" spans="1:10" s="166" customFormat="1" ht="15" customHeight="1">
      <c r="A21" s="232" t="s">
        <v>10</v>
      </c>
      <c r="B21" s="247">
        <v>258</v>
      </c>
      <c r="C21" s="233">
        <v>1253</v>
      </c>
      <c r="D21" s="233">
        <v>0</v>
      </c>
      <c r="E21" s="233">
        <v>184863</v>
      </c>
      <c r="F21" s="233">
        <v>9060065</v>
      </c>
      <c r="G21" s="247" t="s">
        <v>20</v>
      </c>
      <c r="I21" s="244"/>
      <c r="J21" s="244"/>
    </row>
    <row r="22" spans="1:10" s="166" customFormat="1" ht="15" customHeight="1">
      <c r="A22" s="362" t="s">
        <v>12</v>
      </c>
      <c r="B22" s="122">
        <v>180</v>
      </c>
      <c r="C22" s="49">
        <v>645</v>
      </c>
      <c r="D22" s="49">
        <v>0</v>
      </c>
      <c r="E22" s="49">
        <v>2139129</v>
      </c>
      <c r="F22" s="49">
        <v>7489017</v>
      </c>
      <c r="G22" s="122" t="s">
        <v>24</v>
      </c>
      <c r="I22" s="244"/>
      <c r="J22" s="244"/>
    </row>
    <row r="23" spans="1:10" s="166" customFormat="1" ht="15" customHeight="1" thickBot="1">
      <c r="A23" s="232" t="s">
        <v>13</v>
      </c>
      <c r="B23" s="247">
        <v>207</v>
      </c>
      <c r="C23" s="233">
        <v>914</v>
      </c>
      <c r="D23" s="233">
        <v>0</v>
      </c>
      <c r="E23" s="233">
        <v>3938900</v>
      </c>
      <c r="F23" s="233">
        <v>15669125</v>
      </c>
      <c r="G23" s="247" t="s">
        <v>22</v>
      </c>
      <c r="I23" s="244"/>
      <c r="J23" s="244"/>
    </row>
    <row r="24" spans="1:10" s="166" customFormat="1" ht="20.25" customHeight="1" thickTop="1" thickBot="1">
      <c r="A24" s="248" t="s">
        <v>0</v>
      </c>
      <c r="B24" s="249">
        <f>SUM(B9:B23)</f>
        <v>2339</v>
      </c>
      <c r="C24" s="250">
        <f>SUM(C9:C23)</f>
        <v>12366</v>
      </c>
      <c r="D24" s="250">
        <f>SUM(D9:D23)</f>
        <v>0</v>
      </c>
      <c r="E24" s="250">
        <f>SUM(E9:E23)</f>
        <v>34444568</v>
      </c>
      <c r="F24" s="251">
        <f>SUM(F9:F23)</f>
        <v>137949073.34999999</v>
      </c>
      <c r="G24" s="249" t="s">
        <v>1</v>
      </c>
    </row>
    <row r="25" spans="1:10" ht="14.4" thickTop="1">
      <c r="A25" s="901"/>
      <c r="B25" s="901"/>
      <c r="C25" s="901"/>
      <c r="D25" s="901"/>
      <c r="E25" s="619"/>
      <c r="F25" s="620"/>
      <c r="G25" s="620"/>
      <c r="H25" s="587"/>
      <c r="I25" s="587"/>
      <c r="J25" s="587"/>
    </row>
    <row r="26" spans="1:10" ht="13.8">
      <c r="A26" s="587"/>
      <c r="B26" s="620"/>
      <c r="C26" s="620"/>
      <c r="D26" s="620"/>
      <c r="E26" s="620"/>
      <c r="F26" s="620"/>
      <c r="G26" s="620"/>
      <c r="H26" s="587"/>
      <c r="I26" s="587"/>
      <c r="J26" s="587"/>
    </row>
    <row r="27" spans="1:10">
      <c r="A27" s="587"/>
      <c r="B27" s="587"/>
      <c r="C27" s="587"/>
      <c r="D27" s="587"/>
      <c r="E27" s="587"/>
      <c r="F27" s="593"/>
      <c r="G27" s="587"/>
      <c r="H27" s="587"/>
      <c r="I27" s="587"/>
      <c r="J27" s="587"/>
    </row>
  </sheetData>
  <mergeCells count="5">
    <mergeCell ref="F5:G5"/>
    <mergeCell ref="A1:G1"/>
    <mergeCell ref="A2:G3"/>
    <mergeCell ref="A25:D25"/>
    <mergeCell ref="B5:C5"/>
  </mergeCells>
  <phoneticPr fontId="3" type="noConversion"/>
  <printOptions horizontalCentered="1" verticalCentered="1"/>
  <pageMargins left="0.23622047244094491" right="1.04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92D050"/>
  </sheetPr>
  <dimension ref="B1:M19"/>
  <sheetViews>
    <sheetView rightToLeft="1" showWhiteSpace="0" view="pageBreakPreview" zoomScaleNormal="80" zoomScaleSheetLayoutView="100" workbookViewId="0">
      <selection activeCell="B2" sqref="B2:J2"/>
    </sheetView>
  </sheetViews>
  <sheetFormatPr defaultColWidth="9.109375" defaultRowHeight="13.2"/>
  <cols>
    <col min="1" max="1" width="2.44140625" style="587" customWidth="1"/>
    <col min="2" max="2" width="13.6640625" style="587" customWidth="1"/>
    <col min="3" max="3" width="12.109375" style="587" customWidth="1"/>
    <col min="4" max="4" width="10.109375" style="587" customWidth="1"/>
    <col min="5" max="5" width="12.5546875" style="587" customWidth="1"/>
    <col min="6" max="6" width="13.33203125" style="587" customWidth="1"/>
    <col min="7" max="7" width="13.5546875" style="587" customWidth="1"/>
    <col min="8" max="8" width="18" style="616" customWidth="1"/>
    <col min="9" max="9" width="15.33203125" style="587" customWidth="1"/>
    <col min="10" max="10" width="16.44140625" style="587" customWidth="1"/>
    <col min="11" max="11" width="9.109375" style="587"/>
    <col min="12" max="12" width="15.6640625" style="587" bestFit="1" customWidth="1"/>
    <col min="13" max="13" width="12.33203125" style="587" bestFit="1" customWidth="1"/>
    <col min="14" max="16384" width="9.109375" style="587"/>
  </cols>
  <sheetData>
    <row r="1" spans="2:13" ht="30.75" customHeight="1">
      <c r="B1" s="893" t="s">
        <v>422</v>
      </c>
      <c r="C1" s="893"/>
      <c r="D1" s="893"/>
      <c r="E1" s="893"/>
      <c r="F1" s="893"/>
      <c r="G1" s="893"/>
      <c r="H1" s="893"/>
      <c r="I1" s="893"/>
      <c r="J1" s="893"/>
    </row>
    <row r="2" spans="2:13" ht="22.5" customHeight="1">
      <c r="B2" s="896" t="s">
        <v>464</v>
      </c>
      <c r="C2" s="896"/>
      <c r="D2" s="896"/>
      <c r="E2" s="896"/>
      <c r="F2" s="896"/>
      <c r="G2" s="896"/>
      <c r="H2" s="896"/>
      <c r="I2" s="896"/>
      <c r="J2" s="896"/>
    </row>
    <row r="3" spans="2:13" ht="18.75" customHeight="1">
      <c r="C3" s="568"/>
      <c r="D3" s="568"/>
      <c r="E3" s="568"/>
      <c r="F3" s="568"/>
      <c r="G3" s="568"/>
      <c r="H3" s="568"/>
      <c r="I3" s="568"/>
      <c r="J3" s="558" t="s">
        <v>193</v>
      </c>
    </row>
    <row r="4" spans="2:13" ht="28.5" customHeight="1" thickBot="1">
      <c r="B4" s="666" t="s">
        <v>387</v>
      </c>
      <c r="C4" s="897" t="s">
        <v>137</v>
      </c>
      <c r="D4" s="897"/>
      <c r="E4" s="560"/>
      <c r="F4" s="560"/>
      <c r="G4" s="560"/>
      <c r="H4" s="560"/>
      <c r="I4" s="560" t="s">
        <v>136</v>
      </c>
      <c r="J4" s="561" t="s">
        <v>98</v>
      </c>
    </row>
    <row r="5" spans="2:13" ht="15" customHeight="1">
      <c r="B5" s="668"/>
      <c r="C5" s="669" t="s">
        <v>26</v>
      </c>
      <c r="D5" s="669" t="s">
        <v>99</v>
      </c>
      <c r="E5" s="669" t="s">
        <v>100</v>
      </c>
      <c r="F5" s="669" t="s">
        <v>72</v>
      </c>
      <c r="G5" s="669" t="s">
        <v>74</v>
      </c>
      <c r="H5" s="669" t="s">
        <v>78</v>
      </c>
      <c r="I5" s="669" t="s">
        <v>112</v>
      </c>
      <c r="J5" s="669"/>
    </row>
    <row r="6" spans="2:13" ht="15" customHeight="1">
      <c r="B6" s="670"/>
      <c r="C6" s="671" t="s">
        <v>27</v>
      </c>
      <c r="D6" s="566" t="s">
        <v>297</v>
      </c>
      <c r="E6" s="566" t="s">
        <v>139</v>
      </c>
      <c r="F6" s="566" t="s">
        <v>276</v>
      </c>
      <c r="G6" s="566" t="s">
        <v>352</v>
      </c>
      <c r="H6" s="671" t="s">
        <v>124</v>
      </c>
      <c r="I6" s="672" t="s">
        <v>127</v>
      </c>
      <c r="J6" s="566"/>
    </row>
    <row r="7" spans="2:13" ht="16.5" customHeight="1" thickBot="1">
      <c r="B7" s="673" t="s">
        <v>47</v>
      </c>
      <c r="C7" s="674" t="s">
        <v>120</v>
      </c>
      <c r="D7" s="674" t="s">
        <v>148</v>
      </c>
      <c r="E7" s="674" t="s">
        <v>149</v>
      </c>
      <c r="F7" s="674" t="s">
        <v>148</v>
      </c>
      <c r="G7" s="674" t="s">
        <v>40</v>
      </c>
      <c r="H7" s="674" t="s">
        <v>119</v>
      </c>
      <c r="I7" s="673"/>
      <c r="J7" s="675" t="s">
        <v>25</v>
      </c>
    </row>
    <row r="8" spans="2:13" ht="16.5" customHeight="1" thickTop="1">
      <c r="B8" s="563" t="s">
        <v>328</v>
      </c>
      <c r="C8" s="676">
        <v>1</v>
      </c>
      <c r="D8" s="677">
        <v>1</v>
      </c>
      <c r="E8" s="676">
        <v>4</v>
      </c>
      <c r="F8" s="676">
        <v>15</v>
      </c>
      <c r="G8" s="676">
        <v>690</v>
      </c>
      <c r="H8" s="676">
        <v>211</v>
      </c>
      <c r="I8" s="676">
        <v>377203</v>
      </c>
      <c r="J8" s="678" t="s">
        <v>378</v>
      </c>
      <c r="L8" s="593"/>
      <c r="M8" s="593"/>
    </row>
    <row r="9" spans="2:13" ht="16.5" customHeight="1">
      <c r="B9" s="679" t="s">
        <v>423</v>
      </c>
      <c r="C9" s="672">
        <v>1</v>
      </c>
      <c r="D9" s="680">
        <v>1</v>
      </c>
      <c r="E9" s="672">
        <v>4</v>
      </c>
      <c r="F9" s="672">
        <v>9</v>
      </c>
      <c r="G9" s="574">
        <v>396</v>
      </c>
      <c r="H9" s="574">
        <v>361</v>
      </c>
      <c r="I9" s="574">
        <v>122784</v>
      </c>
      <c r="J9" s="645" t="s">
        <v>424</v>
      </c>
      <c r="L9" s="593"/>
      <c r="M9" s="593"/>
    </row>
    <row r="10" spans="2:13" ht="16.5" customHeight="1">
      <c r="B10" s="563" t="s">
        <v>4</v>
      </c>
      <c r="C10" s="676">
        <v>12</v>
      </c>
      <c r="D10" s="677">
        <v>9</v>
      </c>
      <c r="E10" s="676">
        <v>206</v>
      </c>
      <c r="F10" s="676">
        <v>630</v>
      </c>
      <c r="G10" s="676">
        <v>26161</v>
      </c>
      <c r="H10" s="676">
        <v>6654</v>
      </c>
      <c r="I10" s="676">
        <v>11415820</v>
      </c>
      <c r="J10" s="678" t="s">
        <v>425</v>
      </c>
      <c r="L10" s="593"/>
      <c r="M10" s="593"/>
    </row>
    <row r="11" spans="2:13" ht="16.5" customHeight="1">
      <c r="B11" s="679" t="s">
        <v>2</v>
      </c>
      <c r="C11" s="672">
        <v>1</v>
      </c>
      <c r="D11" s="680">
        <v>1</v>
      </c>
      <c r="E11" s="672">
        <v>5</v>
      </c>
      <c r="F11" s="672">
        <v>15</v>
      </c>
      <c r="G11" s="672">
        <v>316</v>
      </c>
      <c r="H11" s="672">
        <v>725</v>
      </c>
      <c r="I11" s="574">
        <v>217000</v>
      </c>
      <c r="J11" s="645" t="s">
        <v>426</v>
      </c>
      <c r="L11" s="593"/>
      <c r="M11" s="593"/>
    </row>
    <row r="12" spans="2:13" ht="15" customHeight="1" thickBot="1">
      <c r="B12" s="563" t="s">
        <v>9</v>
      </c>
      <c r="C12" s="676">
        <v>0</v>
      </c>
      <c r="D12" s="677">
        <v>0</v>
      </c>
      <c r="E12" s="676">
        <v>1</v>
      </c>
      <c r="F12" s="676">
        <v>6</v>
      </c>
      <c r="G12" s="676">
        <v>259</v>
      </c>
      <c r="H12" s="676">
        <v>90</v>
      </c>
      <c r="I12" s="676">
        <v>90594</v>
      </c>
      <c r="J12" s="678" t="s">
        <v>427</v>
      </c>
      <c r="L12" s="593"/>
      <c r="M12" s="593"/>
    </row>
    <row r="13" spans="2:13" ht="24" customHeight="1" thickTop="1" thickBot="1">
      <c r="B13" s="682" t="s">
        <v>0</v>
      </c>
      <c r="C13" s="683">
        <f t="shared" ref="C13:I13" si="0">C8+C9+C10+C11+C12</f>
        <v>15</v>
      </c>
      <c r="D13" s="683">
        <f t="shared" si="0"/>
        <v>12</v>
      </c>
      <c r="E13" s="683">
        <f t="shared" si="0"/>
        <v>220</v>
      </c>
      <c r="F13" s="683">
        <f t="shared" si="0"/>
        <v>675</v>
      </c>
      <c r="G13" s="683">
        <f t="shared" si="0"/>
        <v>27822</v>
      </c>
      <c r="H13" s="683">
        <f t="shared" si="0"/>
        <v>8041</v>
      </c>
      <c r="I13" s="683">
        <f t="shared" si="0"/>
        <v>12223401</v>
      </c>
      <c r="J13" s="682" t="s">
        <v>102</v>
      </c>
    </row>
    <row r="14" spans="2:13" ht="13.8" thickTop="1">
      <c r="B14" s="904" t="s">
        <v>428</v>
      </c>
      <c r="C14" s="904"/>
      <c r="D14" s="904"/>
      <c r="E14" s="904"/>
      <c r="F14" s="904"/>
      <c r="G14" s="685"/>
    </row>
    <row r="15" spans="2:13">
      <c r="B15" s="903" t="s">
        <v>457</v>
      </c>
      <c r="C15" s="903"/>
      <c r="D15" s="903"/>
      <c r="E15" s="903"/>
      <c r="F15" s="903"/>
    </row>
    <row r="17" spans="2:10" ht="13.8">
      <c r="B17" s="681"/>
      <c r="C17" s="778"/>
      <c r="D17" s="681"/>
      <c r="E17" s="681"/>
      <c r="F17" s="681"/>
      <c r="G17" s="681"/>
      <c r="H17" s="681"/>
      <c r="I17" s="681"/>
      <c r="J17" s="681"/>
    </row>
    <row r="18" spans="2:10" ht="13.8">
      <c r="C18" s="620"/>
      <c r="D18" s="620"/>
      <c r="E18" s="620"/>
      <c r="F18" s="620"/>
      <c r="G18" s="620"/>
      <c r="H18" s="686"/>
      <c r="I18" s="620"/>
      <c r="J18" s="615"/>
    </row>
    <row r="19" spans="2:10">
      <c r="C19" s="706"/>
      <c r="D19" s="706"/>
      <c r="E19" s="706"/>
      <c r="F19" s="706"/>
    </row>
  </sheetData>
  <mergeCells count="5">
    <mergeCell ref="B15:F15"/>
    <mergeCell ref="B1:J1"/>
    <mergeCell ref="B2:J2"/>
    <mergeCell ref="C4:D4"/>
    <mergeCell ref="B14:F14"/>
  </mergeCells>
  <phoneticPr fontId="3" type="noConversion"/>
  <printOptions horizontalCentered="1" verticalCentered="1"/>
  <pageMargins left="0.95" right="0.4" top="1.3779527559055118" bottom="0.79" header="0.19685039370078741" footer="0.78740157480314965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</sheetPr>
  <dimension ref="A1:S28"/>
  <sheetViews>
    <sheetView rightToLeft="1" view="pageBreakPreview" topLeftCell="B1" zoomScaleNormal="80" zoomScaleSheetLayoutView="100" workbookViewId="0">
      <selection activeCell="B2" sqref="B2:K2"/>
    </sheetView>
  </sheetViews>
  <sheetFormatPr defaultRowHeight="13.2"/>
  <cols>
    <col min="1" max="1" width="0" hidden="1" customWidth="1"/>
    <col min="2" max="2" width="10.88671875" customWidth="1"/>
    <col min="3" max="3" width="9.44140625" customWidth="1"/>
    <col min="4" max="4" width="10.33203125" customWidth="1"/>
    <col min="5" max="5" width="8.88671875" customWidth="1"/>
    <col min="6" max="6" width="9.88671875" customWidth="1"/>
    <col min="7" max="7" width="10.44140625" customWidth="1"/>
    <col min="8" max="8" width="15.6640625" customWidth="1"/>
    <col min="9" max="9" width="17.5546875" customWidth="1"/>
    <col min="10" max="10" width="16.77734375" customWidth="1"/>
    <col min="11" max="11" width="13.88671875" customWidth="1"/>
    <col min="12" max="12" width="1.109375" customWidth="1"/>
    <col min="14" max="14" width="17.88671875" bestFit="1" customWidth="1"/>
    <col min="15" max="15" width="12.5546875" bestFit="1" customWidth="1"/>
  </cols>
  <sheetData>
    <row r="1" spans="1:19" ht="13.8">
      <c r="B1" s="893" t="s">
        <v>429</v>
      </c>
      <c r="C1" s="893"/>
      <c r="D1" s="893"/>
      <c r="E1" s="893"/>
      <c r="F1" s="893"/>
      <c r="G1" s="893"/>
      <c r="H1" s="893"/>
      <c r="I1" s="893"/>
      <c r="J1" s="893"/>
      <c r="K1" s="893"/>
    </row>
    <row r="2" spans="1:19" ht="15" customHeight="1">
      <c r="B2" s="907" t="s">
        <v>465</v>
      </c>
      <c r="C2" s="907"/>
      <c r="D2" s="907"/>
      <c r="E2" s="907"/>
      <c r="F2" s="907"/>
      <c r="G2" s="907"/>
      <c r="H2" s="907"/>
      <c r="I2" s="907"/>
      <c r="J2" s="907"/>
      <c r="K2" s="907"/>
    </row>
    <row r="3" spans="1:19" s="4" customFormat="1" ht="15" customHeight="1">
      <c r="B3" s="557"/>
      <c r="C3" s="557"/>
      <c r="D3" s="557"/>
      <c r="E3" s="557"/>
      <c r="F3" s="557"/>
      <c r="G3" s="557"/>
      <c r="H3" s="557"/>
      <c r="I3" s="557"/>
      <c r="J3" s="557"/>
      <c r="K3" s="558" t="s">
        <v>193</v>
      </c>
    </row>
    <row r="4" spans="1:19" ht="16.5" customHeight="1" thickBot="1">
      <c r="B4" s="905" t="s">
        <v>389</v>
      </c>
      <c r="C4" s="905"/>
      <c r="D4" s="906" t="s">
        <v>137</v>
      </c>
      <c r="E4" s="906"/>
      <c r="F4" s="559"/>
      <c r="G4" s="559"/>
      <c r="H4" s="559"/>
      <c r="I4" s="560"/>
      <c r="J4" s="560" t="s">
        <v>136</v>
      </c>
      <c r="K4" s="561" t="s">
        <v>388</v>
      </c>
    </row>
    <row r="5" spans="1:19" ht="19.5" customHeight="1">
      <c r="A5" s="2"/>
      <c r="B5" s="562"/>
      <c r="C5" s="563" t="s">
        <v>64</v>
      </c>
      <c r="D5" s="563" t="s">
        <v>99</v>
      </c>
      <c r="E5" s="563" t="s">
        <v>100</v>
      </c>
      <c r="F5" s="563" t="s">
        <v>72</v>
      </c>
      <c r="G5" s="563" t="s">
        <v>73</v>
      </c>
      <c r="H5" s="563" t="s">
        <v>194</v>
      </c>
      <c r="I5" s="563" t="s">
        <v>78</v>
      </c>
      <c r="J5" s="563" t="s">
        <v>114</v>
      </c>
      <c r="K5" s="562"/>
    </row>
    <row r="6" spans="1:19" ht="26.25" customHeight="1">
      <c r="A6" s="2"/>
      <c r="B6" s="564"/>
      <c r="C6" s="565" t="s">
        <v>27</v>
      </c>
      <c r="D6" s="566" t="s">
        <v>297</v>
      </c>
      <c r="E6" s="567" t="s">
        <v>139</v>
      </c>
      <c r="F6" s="565" t="s">
        <v>147</v>
      </c>
      <c r="G6" s="565" t="s">
        <v>132</v>
      </c>
      <c r="H6" s="565" t="s">
        <v>125</v>
      </c>
      <c r="I6" s="565" t="s">
        <v>124</v>
      </c>
      <c r="J6" s="568" t="s">
        <v>311</v>
      </c>
      <c r="K6" s="564"/>
    </row>
    <row r="7" spans="1:19" ht="15" customHeight="1" thickBot="1">
      <c r="A7" s="2"/>
      <c r="B7" s="569" t="s">
        <v>51</v>
      </c>
      <c r="C7" s="570" t="s">
        <v>120</v>
      </c>
      <c r="D7" s="570" t="s">
        <v>120</v>
      </c>
      <c r="E7" s="569" t="s">
        <v>120</v>
      </c>
      <c r="F7" s="570" t="s">
        <v>120</v>
      </c>
      <c r="G7" s="570" t="s">
        <v>120</v>
      </c>
      <c r="H7" s="570" t="s">
        <v>119</v>
      </c>
      <c r="I7" s="570" t="s">
        <v>119</v>
      </c>
      <c r="J7" s="569"/>
      <c r="K7" s="571" t="s">
        <v>25</v>
      </c>
    </row>
    <row r="8" spans="1:19" s="166" customFormat="1" ht="15" customHeight="1" thickTop="1">
      <c r="B8" s="572" t="s">
        <v>328</v>
      </c>
      <c r="C8" s="573">
        <v>15</v>
      </c>
      <c r="D8" s="573">
        <v>4</v>
      </c>
      <c r="E8" s="573">
        <v>136</v>
      </c>
      <c r="F8" s="573">
        <v>423</v>
      </c>
      <c r="G8" s="573">
        <v>72</v>
      </c>
      <c r="H8" s="573">
        <v>17939</v>
      </c>
      <c r="I8" s="573">
        <v>8155</v>
      </c>
      <c r="J8" s="573">
        <v>10885245.699999999</v>
      </c>
      <c r="K8" s="575" t="s">
        <v>378</v>
      </c>
      <c r="N8" s="244"/>
      <c r="O8" s="244"/>
      <c r="S8" s="244"/>
    </row>
    <row r="9" spans="1:19" s="166" customFormat="1" ht="15" customHeight="1">
      <c r="B9" s="576" t="s">
        <v>29</v>
      </c>
      <c r="C9" s="577">
        <v>16</v>
      </c>
      <c r="D9" s="577">
        <v>7</v>
      </c>
      <c r="E9" s="577">
        <v>75</v>
      </c>
      <c r="F9" s="577">
        <v>347</v>
      </c>
      <c r="G9" s="577">
        <v>97</v>
      </c>
      <c r="H9" s="577">
        <v>17728</v>
      </c>
      <c r="I9" s="577">
        <v>6602</v>
      </c>
      <c r="J9" s="577">
        <v>7950622.5</v>
      </c>
      <c r="K9" s="579" t="s">
        <v>30</v>
      </c>
      <c r="N9" s="244"/>
      <c r="O9" s="244"/>
      <c r="S9" s="244"/>
    </row>
    <row r="10" spans="1:19" s="166" customFormat="1" ht="15" customHeight="1">
      <c r="B10" s="580" t="s">
        <v>3</v>
      </c>
      <c r="C10" s="573">
        <v>18</v>
      </c>
      <c r="D10" s="573">
        <v>9</v>
      </c>
      <c r="E10" s="573">
        <v>69</v>
      </c>
      <c r="F10" s="573">
        <v>183</v>
      </c>
      <c r="G10" s="573">
        <v>56</v>
      </c>
      <c r="H10" s="573">
        <v>10014</v>
      </c>
      <c r="I10" s="573">
        <v>5699</v>
      </c>
      <c r="J10" s="573">
        <v>4199623.2</v>
      </c>
      <c r="K10" s="581" t="s">
        <v>15</v>
      </c>
      <c r="N10" s="244"/>
      <c r="O10" s="244"/>
      <c r="S10" s="244"/>
    </row>
    <row r="11" spans="1:19" s="166" customFormat="1" ht="15" customHeight="1">
      <c r="B11" s="582" t="s">
        <v>319</v>
      </c>
      <c r="C11" s="577">
        <v>12</v>
      </c>
      <c r="D11" s="577">
        <v>3</v>
      </c>
      <c r="E11" s="577">
        <v>56</v>
      </c>
      <c r="F11" s="577">
        <v>143</v>
      </c>
      <c r="G11" s="577">
        <v>59</v>
      </c>
      <c r="H11" s="577">
        <v>10231</v>
      </c>
      <c r="I11" s="577">
        <v>5778</v>
      </c>
      <c r="J11" s="577">
        <v>3653944</v>
      </c>
      <c r="K11" s="579" t="s">
        <v>315</v>
      </c>
      <c r="N11" s="244"/>
      <c r="O11" s="244"/>
      <c r="S11" s="244"/>
    </row>
    <row r="12" spans="1:19" s="166" customFormat="1" ht="15" customHeight="1">
      <c r="B12" s="572" t="s">
        <v>4</v>
      </c>
      <c r="C12" s="573">
        <v>253</v>
      </c>
      <c r="D12" s="573">
        <v>209</v>
      </c>
      <c r="E12" s="573">
        <v>2018</v>
      </c>
      <c r="F12" s="573">
        <v>4679</v>
      </c>
      <c r="G12" s="573">
        <v>1229</v>
      </c>
      <c r="H12" s="573">
        <v>415008</v>
      </c>
      <c r="I12" s="573">
        <v>124248</v>
      </c>
      <c r="J12" s="573">
        <v>185690920</v>
      </c>
      <c r="K12" s="575" t="s">
        <v>16</v>
      </c>
      <c r="N12" s="244"/>
      <c r="O12" s="244"/>
      <c r="S12" s="244"/>
    </row>
    <row r="13" spans="1:19" s="166" customFormat="1" ht="15" customHeight="1">
      <c r="B13" s="576" t="s">
        <v>5</v>
      </c>
      <c r="C13" s="577">
        <v>9</v>
      </c>
      <c r="D13" s="577">
        <v>2</v>
      </c>
      <c r="E13" s="577">
        <v>38</v>
      </c>
      <c r="F13" s="577">
        <v>90</v>
      </c>
      <c r="G13" s="577">
        <v>60</v>
      </c>
      <c r="H13" s="577">
        <v>7004</v>
      </c>
      <c r="I13" s="577">
        <v>3503</v>
      </c>
      <c r="J13" s="577">
        <v>5195157</v>
      </c>
      <c r="K13" s="579" t="s">
        <v>23</v>
      </c>
      <c r="N13" s="244"/>
      <c r="O13" s="244"/>
      <c r="S13" s="244"/>
    </row>
    <row r="14" spans="1:19" s="166" customFormat="1" ht="15" customHeight="1">
      <c r="B14" s="572" t="s">
        <v>6</v>
      </c>
      <c r="C14" s="573">
        <v>77</v>
      </c>
      <c r="D14" s="573">
        <v>36</v>
      </c>
      <c r="E14" s="573">
        <v>462</v>
      </c>
      <c r="F14" s="573">
        <v>1425</v>
      </c>
      <c r="G14" s="573">
        <v>211</v>
      </c>
      <c r="H14" s="573">
        <v>76321</v>
      </c>
      <c r="I14" s="573">
        <v>17872</v>
      </c>
      <c r="J14" s="573">
        <v>26399088</v>
      </c>
      <c r="K14" s="575" t="s">
        <v>379</v>
      </c>
      <c r="N14" s="244"/>
      <c r="O14" s="244"/>
      <c r="S14" s="244"/>
    </row>
    <row r="15" spans="1:19" s="166" customFormat="1" ht="15" customHeight="1">
      <c r="B15" s="576" t="s">
        <v>11</v>
      </c>
      <c r="C15" s="577">
        <v>4</v>
      </c>
      <c r="D15" s="577">
        <v>1</v>
      </c>
      <c r="E15" s="577">
        <v>14</v>
      </c>
      <c r="F15" s="577">
        <v>37</v>
      </c>
      <c r="G15" s="577">
        <v>10</v>
      </c>
      <c r="H15" s="577">
        <v>2052</v>
      </c>
      <c r="I15" s="577">
        <v>1561</v>
      </c>
      <c r="J15" s="577">
        <v>1074746.3999999999</v>
      </c>
      <c r="K15" s="579" t="s">
        <v>21</v>
      </c>
      <c r="N15" s="244"/>
      <c r="O15" s="244"/>
      <c r="S15" s="244"/>
    </row>
    <row r="16" spans="1:19" s="166" customFormat="1" ht="18" customHeight="1">
      <c r="B16" s="572" t="s">
        <v>2</v>
      </c>
      <c r="C16" s="573">
        <v>2</v>
      </c>
      <c r="D16" s="573">
        <v>1</v>
      </c>
      <c r="E16" s="573">
        <v>7</v>
      </c>
      <c r="F16" s="573">
        <v>36</v>
      </c>
      <c r="G16" s="573">
        <v>1</v>
      </c>
      <c r="H16" s="573">
        <v>2308</v>
      </c>
      <c r="I16" s="573">
        <v>2025</v>
      </c>
      <c r="J16" s="573">
        <v>495376</v>
      </c>
      <c r="K16" s="583" t="s">
        <v>14</v>
      </c>
      <c r="N16" s="244"/>
      <c r="O16" s="244"/>
      <c r="S16" s="244"/>
    </row>
    <row r="17" spans="1:19" s="166" customFormat="1" ht="15" customHeight="1">
      <c r="B17" s="576" t="s">
        <v>7</v>
      </c>
      <c r="C17" s="577">
        <v>17</v>
      </c>
      <c r="D17" s="577">
        <v>13</v>
      </c>
      <c r="E17" s="577">
        <v>83</v>
      </c>
      <c r="F17" s="577">
        <v>207</v>
      </c>
      <c r="G17" s="577">
        <v>63</v>
      </c>
      <c r="H17" s="577">
        <v>16057</v>
      </c>
      <c r="I17" s="577">
        <v>5399</v>
      </c>
      <c r="J17" s="577">
        <v>7973316</v>
      </c>
      <c r="K17" s="579" t="s">
        <v>17</v>
      </c>
      <c r="N17" s="244"/>
      <c r="O17" s="244"/>
      <c r="S17" s="244"/>
    </row>
    <row r="18" spans="1:19" s="166" customFormat="1" ht="15" customHeight="1">
      <c r="B18" s="572" t="s">
        <v>8</v>
      </c>
      <c r="C18" s="574">
        <v>4</v>
      </c>
      <c r="D18" s="573">
        <v>1</v>
      </c>
      <c r="E18" s="573">
        <v>27</v>
      </c>
      <c r="F18" s="573">
        <v>86</v>
      </c>
      <c r="G18" s="573">
        <v>30</v>
      </c>
      <c r="H18" s="573">
        <v>6333</v>
      </c>
      <c r="I18" s="573">
        <v>1804</v>
      </c>
      <c r="J18" s="573">
        <v>2001207</v>
      </c>
      <c r="K18" s="575" t="s">
        <v>18</v>
      </c>
      <c r="N18" s="244"/>
      <c r="O18" s="244"/>
      <c r="S18" s="244"/>
    </row>
    <row r="19" spans="1:19" s="166" customFormat="1" ht="15" customHeight="1">
      <c r="B19" s="576" t="s">
        <v>9</v>
      </c>
      <c r="C19" s="577">
        <v>7</v>
      </c>
      <c r="D19" s="577">
        <v>2</v>
      </c>
      <c r="E19" s="577">
        <v>34</v>
      </c>
      <c r="F19" s="577">
        <v>83</v>
      </c>
      <c r="G19" s="577">
        <v>32</v>
      </c>
      <c r="H19" s="577">
        <v>8565</v>
      </c>
      <c r="I19" s="577">
        <v>3840</v>
      </c>
      <c r="J19" s="577">
        <v>3092814</v>
      </c>
      <c r="K19" s="579" t="s">
        <v>19</v>
      </c>
      <c r="N19" s="244"/>
      <c r="O19" s="244"/>
      <c r="S19" s="244"/>
    </row>
    <row r="20" spans="1:19" s="166" customFormat="1" ht="15" customHeight="1">
      <c r="B20" s="572" t="s">
        <v>10</v>
      </c>
      <c r="C20" s="573">
        <v>8</v>
      </c>
      <c r="D20" s="573">
        <v>2</v>
      </c>
      <c r="E20" s="573">
        <v>43</v>
      </c>
      <c r="F20" s="573">
        <v>99</v>
      </c>
      <c r="G20" s="573">
        <v>21</v>
      </c>
      <c r="H20" s="573">
        <v>6464</v>
      </c>
      <c r="I20" s="573">
        <v>3249</v>
      </c>
      <c r="J20" s="573">
        <v>2253392.5</v>
      </c>
      <c r="K20" s="575" t="s">
        <v>20</v>
      </c>
      <c r="N20" s="244"/>
      <c r="O20" s="244"/>
      <c r="S20" s="244"/>
    </row>
    <row r="21" spans="1:19" s="166" customFormat="1" ht="15" customHeight="1">
      <c r="B21" s="576" t="s">
        <v>12</v>
      </c>
      <c r="C21" s="577">
        <v>1</v>
      </c>
      <c r="D21" s="577">
        <v>1</v>
      </c>
      <c r="E21" s="577">
        <v>1</v>
      </c>
      <c r="F21" s="577">
        <v>2</v>
      </c>
      <c r="G21" s="577">
        <v>0</v>
      </c>
      <c r="H21" s="577">
        <v>38</v>
      </c>
      <c r="I21" s="577">
        <v>38</v>
      </c>
      <c r="J21" s="577">
        <v>15200</v>
      </c>
      <c r="K21" s="579" t="s">
        <v>24</v>
      </c>
      <c r="N21" s="244"/>
      <c r="O21" s="244"/>
      <c r="S21" s="244"/>
    </row>
    <row r="22" spans="1:19" s="166" customFormat="1" ht="15" customHeight="1" thickBot="1">
      <c r="B22" s="827" t="s">
        <v>13</v>
      </c>
      <c r="C22" s="828">
        <v>10</v>
      </c>
      <c r="D22" s="828">
        <v>4</v>
      </c>
      <c r="E22" s="828">
        <v>110</v>
      </c>
      <c r="F22" s="828">
        <v>252</v>
      </c>
      <c r="G22" s="828">
        <v>58</v>
      </c>
      <c r="H22" s="828">
        <v>10442</v>
      </c>
      <c r="I22" s="828">
        <v>4885</v>
      </c>
      <c r="J22" s="828">
        <v>4624951</v>
      </c>
      <c r="K22" s="829" t="s">
        <v>22</v>
      </c>
      <c r="N22" s="244"/>
      <c r="O22" s="244"/>
      <c r="S22" s="244"/>
    </row>
    <row r="23" spans="1:19" ht="18.75" customHeight="1" thickBot="1">
      <c r="B23" s="584" t="s">
        <v>0</v>
      </c>
      <c r="C23" s="585">
        <f t="shared" ref="C23:J23" si="0">SUM(C8:C22)</f>
        <v>453</v>
      </c>
      <c r="D23" s="585">
        <f t="shared" si="0"/>
        <v>295</v>
      </c>
      <c r="E23" s="585">
        <f t="shared" si="0"/>
        <v>3173</v>
      </c>
      <c r="F23" s="585">
        <f t="shared" si="0"/>
        <v>8092</v>
      </c>
      <c r="G23" s="585">
        <f t="shared" si="0"/>
        <v>1999</v>
      </c>
      <c r="H23" s="585">
        <f t="shared" si="0"/>
        <v>606504</v>
      </c>
      <c r="I23" s="585">
        <f t="shared" si="0"/>
        <v>194658</v>
      </c>
      <c r="J23" s="585">
        <f t="shared" si="0"/>
        <v>265505603.30000001</v>
      </c>
      <c r="K23" s="586" t="s">
        <v>1</v>
      </c>
      <c r="N23" s="409"/>
      <c r="O23" s="244"/>
    </row>
    <row r="24" spans="1:19" ht="13.8" thickTop="1">
      <c r="B24" s="908"/>
      <c r="C24" s="908"/>
      <c r="D24" s="908"/>
      <c r="E24" s="908"/>
      <c r="F24" s="908"/>
    </row>
    <row r="25" spans="1:19">
      <c r="B25" s="8"/>
      <c r="C25" s="8"/>
      <c r="D25" s="8"/>
      <c r="E25" s="8"/>
      <c r="F25" s="8"/>
      <c r="K25" s="5"/>
      <c r="L25" s="5"/>
    </row>
    <row r="26" spans="1:19">
      <c r="A26" s="587"/>
      <c r="B26" s="587"/>
      <c r="C26" s="587"/>
      <c r="D26" s="587"/>
      <c r="E26" s="587"/>
      <c r="F26" s="587"/>
      <c r="G26" s="587"/>
      <c r="H26" s="587"/>
      <c r="I26" s="587"/>
      <c r="J26" s="587"/>
    </row>
    <row r="27" spans="1:19">
      <c r="A27" s="587"/>
      <c r="B27" s="587"/>
      <c r="C27" s="587"/>
      <c r="D27" s="587"/>
      <c r="E27" s="587"/>
      <c r="F27" s="587"/>
      <c r="G27" s="587"/>
      <c r="H27" s="587"/>
      <c r="I27" s="587"/>
      <c r="J27" s="587"/>
    </row>
    <row r="28" spans="1:19">
      <c r="A28" s="587"/>
      <c r="B28" s="587"/>
      <c r="C28" s="587"/>
      <c r="D28" s="587"/>
      <c r="E28" s="587"/>
      <c r="F28" s="587"/>
      <c r="G28" s="587"/>
      <c r="H28" s="587"/>
      <c r="I28" s="587"/>
      <c r="J28" s="587"/>
    </row>
  </sheetData>
  <mergeCells count="5">
    <mergeCell ref="B1:K1"/>
    <mergeCell ref="B4:C4"/>
    <mergeCell ref="D4:E4"/>
    <mergeCell ref="B2:K2"/>
    <mergeCell ref="B24:F24"/>
  </mergeCells>
  <phoneticPr fontId="3" type="noConversion"/>
  <printOptions horizontalCentered="1" verticalCentered="1"/>
  <pageMargins left="0.23622047244094491" right="0.25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</sheetPr>
  <dimension ref="B1:X19"/>
  <sheetViews>
    <sheetView rightToLeft="1" view="pageBreakPreview" zoomScaleNormal="100" zoomScaleSheetLayoutView="100" workbookViewId="0">
      <selection activeCell="B2" sqref="B2:J3"/>
    </sheetView>
  </sheetViews>
  <sheetFormatPr defaultColWidth="9.109375" defaultRowHeight="13.2"/>
  <cols>
    <col min="1" max="1" width="0.33203125" style="587" customWidth="1"/>
    <col min="2" max="3" width="12.109375" style="587" customWidth="1"/>
    <col min="4" max="5" width="10" style="587" customWidth="1"/>
    <col min="6" max="6" width="11.33203125" style="587" customWidth="1"/>
    <col min="7" max="7" width="12.6640625" style="587" customWidth="1"/>
    <col min="8" max="8" width="20.44140625" style="587" customWidth="1"/>
    <col min="9" max="9" width="16.5546875" style="587" customWidth="1"/>
    <col min="10" max="10" width="15" style="587" customWidth="1"/>
    <col min="11" max="11" width="9.109375" style="587"/>
    <col min="12" max="12" width="15.44140625" style="587" bestFit="1" customWidth="1"/>
    <col min="13" max="16384" width="9.109375" style="587"/>
  </cols>
  <sheetData>
    <row r="1" spans="2:24" ht="15" customHeight="1">
      <c r="B1" s="893" t="s">
        <v>434</v>
      </c>
      <c r="C1" s="893"/>
      <c r="D1" s="893"/>
      <c r="E1" s="893"/>
      <c r="F1" s="893"/>
      <c r="G1" s="893"/>
      <c r="H1" s="893"/>
      <c r="I1" s="893"/>
      <c r="J1" s="893"/>
    </row>
    <row r="2" spans="2:24" ht="15.75" customHeight="1">
      <c r="B2" s="896" t="s">
        <v>466</v>
      </c>
      <c r="C2" s="896"/>
      <c r="D2" s="896"/>
      <c r="E2" s="896"/>
      <c r="F2" s="896"/>
      <c r="G2" s="896"/>
      <c r="H2" s="896"/>
      <c r="I2" s="896"/>
      <c r="J2" s="896"/>
    </row>
    <row r="3" spans="2:24">
      <c r="B3" s="896"/>
      <c r="C3" s="896"/>
      <c r="D3" s="896"/>
      <c r="E3" s="896"/>
      <c r="F3" s="896"/>
      <c r="G3" s="896"/>
      <c r="H3" s="896"/>
      <c r="I3" s="896"/>
      <c r="J3" s="896"/>
    </row>
    <row r="4" spans="2:24" ht="13.8">
      <c r="B4" s="568"/>
      <c r="C4" s="568"/>
      <c r="D4" s="568"/>
      <c r="E4" s="568"/>
      <c r="F4" s="568"/>
      <c r="G4" s="568"/>
      <c r="H4" s="568"/>
      <c r="I4" s="568"/>
      <c r="J4" s="558" t="s">
        <v>193</v>
      </c>
    </row>
    <row r="5" spans="2:24" ht="15" customHeight="1" thickBot="1">
      <c r="B5" s="666" t="s">
        <v>391</v>
      </c>
      <c r="C5" s="666" t="s">
        <v>360</v>
      </c>
      <c r="D5" s="666"/>
      <c r="E5" s="666"/>
      <c r="F5" s="666"/>
      <c r="G5" s="559"/>
      <c r="H5" s="894" t="s">
        <v>298</v>
      </c>
      <c r="I5" s="894"/>
      <c r="J5" s="561" t="s">
        <v>103</v>
      </c>
    </row>
    <row r="6" spans="2:24" ht="27" customHeight="1">
      <c r="B6" s="688"/>
      <c r="C6" s="689" t="s">
        <v>26</v>
      </c>
      <c r="D6" s="689" t="s">
        <v>317</v>
      </c>
      <c r="E6" s="689" t="s">
        <v>100</v>
      </c>
      <c r="F6" s="689" t="s">
        <v>318</v>
      </c>
      <c r="G6" s="690" t="s">
        <v>101</v>
      </c>
      <c r="H6" s="690" t="s">
        <v>78</v>
      </c>
      <c r="I6" s="690" t="s">
        <v>195</v>
      </c>
      <c r="J6" s="562"/>
    </row>
    <row r="7" spans="2:24" ht="25.5" customHeight="1">
      <c r="B7" s="648"/>
      <c r="C7" s="691" t="s">
        <v>27</v>
      </c>
      <c r="D7" s="691" t="s">
        <v>297</v>
      </c>
      <c r="E7" s="691" t="s">
        <v>139</v>
      </c>
      <c r="F7" s="691" t="s">
        <v>147</v>
      </c>
      <c r="G7" s="692" t="s">
        <v>132</v>
      </c>
      <c r="H7" s="692" t="s">
        <v>124</v>
      </c>
      <c r="I7" s="693" t="s">
        <v>126</v>
      </c>
      <c r="J7" s="564"/>
    </row>
    <row r="8" spans="2:24" ht="36.75" customHeight="1" thickBot="1">
      <c r="B8" s="571" t="s">
        <v>49</v>
      </c>
      <c r="C8" s="570" t="s">
        <v>120</v>
      </c>
      <c r="D8" s="570" t="s">
        <v>120</v>
      </c>
      <c r="E8" s="570" t="s">
        <v>120</v>
      </c>
      <c r="F8" s="570" t="s">
        <v>120</v>
      </c>
      <c r="G8" s="570" t="s">
        <v>120</v>
      </c>
      <c r="H8" s="570" t="s">
        <v>119</v>
      </c>
      <c r="I8" s="569"/>
      <c r="J8" s="571" t="s">
        <v>25</v>
      </c>
    </row>
    <row r="9" spans="2:24" s="598" customFormat="1" ht="15" customHeight="1" thickTop="1">
      <c r="B9" s="694" t="s">
        <v>328</v>
      </c>
      <c r="C9" s="695">
        <v>1</v>
      </c>
      <c r="D9" s="695">
        <v>2</v>
      </c>
      <c r="E9" s="695">
        <v>4</v>
      </c>
      <c r="F9" s="695">
        <v>12</v>
      </c>
      <c r="G9" s="695">
        <v>1</v>
      </c>
      <c r="H9" s="695">
        <v>448</v>
      </c>
      <c r="I9" s="851">
        <v>205991.5</v>
      </c>
      <c r="J9" s="695" t="s">
        <v>378</v>
      </c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</row>
    <row r="10" spans="2:24" s="598" customFormat="1" ht="15" customHeight="1">
      <c r="B10" s="696" t="s">
        <v>29</v>
      </c>
      <c r="C10" s="606">
        <v>5</v>
      </c>
      <c r="D10" s="606">
        <v>2</v>
      </c>
      <c r="E10" s="606">
        <v>27</v>
      </c>
      <c r="F10" s="606">
        <v>141</v>
      </c>
      <c r="G10" s="592">
        <v>39</v>
      </c>
      <c r="H10" s="592">
        <v>7219</v>
      </c>
      <c r="I10" s="852">
        <v>3248536.5</v>
      </c>
      <c r="J10" s="606" t="s">
        <v>430</v>
      </c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</row>
    <row r="11" spans="2:24" ht="15" customHeight="1">
      <c r="B11" s="694" t="s">
        <v>319</v>
      </c>
      <c r="C11" s="695">
        <v>1</v>
      </c>
      <c r="D11" s="695">
        <v>1</v>
      </c>
      <c r="E11" s="695">
        <v>4</v>
      </c>
      <c r="F11" s="695">
        <v>19</v>
      </c>
      <c r="G11" s="676">
        <v>2</v>
      </c>
      <c r="H11" s="676">
        <v>1180</v>
      </c>
      <c r="I11" s="853">
        <v>469662.5</v>
      </c>
      <c r="J11" s="695" t="s">
        <v>424</v>
      </c>
    </row>
    <row r="12" spans="2:24" s="598" customFormat="1" ht="15" customHeight="1">
      <c r="B12" s="696" t="s">
        <v>4</v>
      </c>
      <c r="C12" s="606">
        <v>2</v>
      </c>
      <c r="D12" s="606">
        <v>1</v>
      </c>
      <c r="E12" s="606">
        <v>14</v>
      </c>
      <c r="F12" s="606">
        <v>23</v>
      </c>
      <c r="G12" s="592">
        <v>4</v>
      </c>
      <c r="H12" s="592">
        <v>1016</v>
      </c>
      <c r="I12" s="852">
        <v>455820</v>
      </c>
      <c r="J12" s="606" t="s">
        <v>431</v>
      </c>
      <c r="K12" s="587"/>
      <c r="L12" s="587"/>
      <c r="M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</row>
    <row r="13" spans="2:24" ht="15" customHeight="1">
      <c r="B13" s="694" t="s">
        <v>6</v>
      </c>
      <c r="C13" s="695">
        <v>5</v>
      </c>
      <c r="D13" s="695">
        <v>2</v>
      </c>
      <c r="E13" s="695">
        <v>18</v>
      </c>
      <c r="F13" s="695">
        <v>46</v>
      </c>
      <c r="G13" s="676">
        <v>8</v>
      </c>
      <c r="H13" s="676">
        <v>4667</v>
      </c>
      <c r="I13" s="853">
        <v>1508406</v>
      </c>
      <c r="J13" s="695" t="s">
        <v>432</v>
      </c>
    </row>
    <row r="14" spans="2:24" s="598" customFormat="1" ht="15" customHeight="1">
      <c r="B14" s="696" t="s">
        <v>11</v>
      </c>
      <c r="C14" s="606">
        <v>9</v>
      </c>
      <c r="D14" s="606">
        <v>3</v>
      </c>
      <c r="E14" s="606">
        <v>4</v>
      </c>
      <c r="F14" s="606">
        <v>9</v>
      </c>
      <c r="G14" s="592">
        <v>1</v>
      </c>
      <c r="H14" s="592">
        <v>197</v>
      </c>
      <c r="I14" s="852">
        <v>147420</v>
      </c>
      <c r="J14" s="606" t="s">
        <v>433</v>
      </c>
    </row>
    <row r="15" spans="2:24" s="830" customFormat="1" ht="15" customHeight="1">
      <c r="B15" s="576" t="s">
        <v>7</v>
      </c>
      <c r="C15" s="579">
        <v>8</v>
      </c>
      <c r="D15" s="579">
        <v>6</v>
      </c>
      <c r="E15" s="579">
        <v>3</v>
      </c>
      <c r="F15" s="579">
        <v>18</v>
      </c>
      <c r="G15" s="577">
        <v>5</v>
      </c>
      <c r="H15" s="577">
        <v>502</v>
      </c>
      <c r="I15" s="854">
        <v>234108</v>
      </c>
      <c r="J15" s="579" t="s">
        <v>17</v>
      </c>
    </row>
    <row r="16" spans="2:24" ht="15" customHeight="1">
      <c r="B16" s="572" t="s">
        <v>10</v>
      </c>
      <c r="C16" s="575">
        <v>7</v>
      </c>
      <c r="D16" s="575">
        <v>2</v>
      </c>
      <c r="E16" s="575">
        <v>1</v>
      </c>
      <c r="F16" s="575">
        <v>2</v>
      </c>
      <c r="G16" s="573">
        <v>1</v>
      </c>
      <c r="H16" s="573">
        <v>169</v>
      </c>
      <c r="I16" s="855">
        <v>59290</v>
      </c>
      <c r="J16" s="575" t="s">
        <v>20</v>
      </c>
    </row>
    <row r="17" spans="2:24" s="598" customFormat="1" ht="15" customHeight="1" thickBot="1">
      <c r="B17" s="694" t="s">
        <v>13</v>
      </c>
      <c r="C17" s="695">
        <v>5</v>
      </c>
      <c r="D17" s="695">
        <v>2</v>
      </c>
      <c r="E17" s="695">
        <v>2</v>
      </c>
      <c r="F17" s="695">
        <v>5</v>
      </c>
      <c r="G17" s="676">
        <v>0</v>
      </c>
      <c r="H17" s="698">
        <v>220</v>
      </c>
      <c r="I17" s="856">
        <v>110000</v>
      </c>
      <c r="J17" s="700" t="s">
        <v>22</v>
      </c>
      <c r="K17" s="587"/>
      <c r="L17" s="587"/>
      <c r="M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</row>
    <row r="18" spans="2:24" s="705" customFormat="1" ht="16.5" customHeight="1" thickBot="1">
      <c r="B18" s="701" t="s">
        <v>0</v>
      </c>
      <c r="C18" s="702">
        <f>SUM(C9:C17)</f>
        <v>43</v>
      </c>
      <c r="D18" s="702">
        <f>SUM(D9:D17)</f>
        <v>21</v>
      </c>
      <c r="E18" s="702">
        <f t="shared" ref="E18:I18" si="0">SUM(E9:E17)</f>
        <v>77</v>
      </c>
      <c r="F18" s="702">
        <f t="shared" si="0"/>
        <v>275</v>
      </c>
      <c r="G18" s="702">
        <f t="shared" si="0"/>
        <v>61</v>
      </c>
      <c r="H18" s="703">
        <f t="shared" si="0"/>
        <v>15618</v>
      </c>
      <c r="I18" s="703">
        <f t="shared" si="0"/>
        <v>6439234.5</v>
      </c>
      <c r="J18" s="704" t="s">
        <v>1</v>
      </c>
      <c r="K18" s="587"/>
      <c r="L18" s="587"/>
      <c r="M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</row>
    <row r="19" spans="2:24">
      <c r="B19" s="909" t="s">
        <v>435</v>
      </c>
      <c r="C19" s="909"/>
      <c r="D19" s="909"/>
      <c r="E19" s="909"/>
      <c r="F19" s="909"/>
      <c r="G19" s="909"/>
      <c r="H19" s="706"/>
    </row>
  </sheetData>
  <mergeCells count="4">
    <mergeCell ref="B1:J1"/>
    <mergeCell ref="B2:J3"/>
    <mergeCell ref="H5:I5"/>
    <mergeCell ref="B19:G19"/>
  </mergeCells>
  <phoneticPr fontId="3" type="noConversion"/>
  <printOptions horizontalCentered="1" verticalCentered="1"/>
  <pageMargins left="0.23622047244094491" right="0.2" top="1.3779527559055118" bottom="1.8110236220472442" header="0.19685039370078741" footer="0.78740157480314965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L20"/>
  <sheetViews>
    <sheetView rightToLeft="1" view="pageBreakPreview" topLeftCell="B1" zoomScaleNormal="90" zoomScaleSheetLayoutView="100" workbookViewId="0">
      <selection activeCell="B2" sqref="B2:I3"/>
    </sheetView>
  </sheetViews>
  <sheetFormatPr defaultColWidth="9.109375" defaultRowHeight="13.2"/>
  <cols>
    <col min="1" max="1" width="1.88671875" style="587" hidden="1" customWidth="1"/>
    <col min="2" max="2" width="14.5546875" style="587" customWidth="1"/>
    <col min="3" max="4" width="11" style="587" customWidth="1"/>
    <col min="5" max="5" width="11.6640625" style="618" customWidth="1"/>
    <col min="6" max="7" width="16.44140625" style="587" customWidth="1"/>
    <col min="8" max="8" width="19.33203125" style="587" customWidth="1"/>
    <col min="9" max="9" width="15.5546875" style="587" customWidth="1"/>
    <col min="10" max="10" width="2" style="587" customWidth="1"/>
    <col min="11" max="11" width="9.109375" style="587"/>
    <col min="12" max="12" width="15.44140625" style="587" bestFit="1" customWidth="1"/>
    <col min="13" max="16384" width="9.109375" style="587"/>
  </cols>
  <sheetData>
    <row r="1" spans="1:12" ht="13.8">
      <c r="A1" s="648"/>
      <c r="B1" s="893" t="s">
        <v>447</v>
      </c>
      <c r="C1" s="893"/>
      <c r="D1" s="893"/>
      <c r="E1" s="893"/>
      <c r="F1" s="893"/>
      <c r="G1" s="893"/>
      <c r="H1" s="893"/>
      <c r="I1" s="893"/>
    </row>
    <row r="2" spans="1:12" ht="15" customHeight="1">
      <c r="A2" s="648"/>
      <c r="B2" s="911" t="s">
        <v>467</v>
      </c>
      <c r="C2" s="911"/>
      <c r="D2" s="911"/>
      <c r="E2" s="911"/>
      <c r="F2" s="911"/>
      <c r="G2" s="911"/>
      <c r="H2" s="911"/>
      <c r="I2" s="911"/>
    </row>
    <row r="3" spans="1:12" ht="16.5" customHeight="1">
      <c r="A3" s="648"/>
      <c r="B3" s="911"/>
      <c r="C3" s="911"/>
      <c r="D3" s="911"/>
      <c r="E3" s="911"/>
      <c r="F3" s="911"/>
      <c r="G3" s="911"/>
      <c r="H3" s="911"/>
      <c r="I3" s="911"/>
    </row>
    <row r="4" spans="1:12" ht="16.5" customHeight="1">
      <c r="A4" s="648"/>
      <c r="B4" s="707"/>
      <c r="C4" s="707"/>
      <c r="D4" s="707"/>
      <c r="E4" s="591"/>
      <c r="F4" s="707"/>
      <c r="G4" s="707"/>
      <c r="H4" s="913" t="s">
        <v>193</v>
      </c>
      <c r="I4" s="913"/>
      <c r="J4" s="620"/>
    </row>
    <row r="5" spans="1:12" ht="15" customHeight="1" thickBot="1">
      <c r="A5" s="648"/>
      <c r="B5" s="912" t="s">
        <v>390</v>
      </c>
      <c r="C5" s="912"/>
      <c r="D5" s="912" t="s">
        <v>392</v>
      </c>
      <c r="E5" s="912"/>
      <c r="F5" s="648"/>
      <c r="G5" s="897" t="s">
        <v>136</v>
      </c>
      <c r="H5" s="897"/>
      <c r="I5" s="708" t="s">
        <v>104</v>
      </c>
    </row>
    <row r="6" spans="1:12" ht="34.5" customHeight="1">
      <c r="A6" s="648"/>
      <c r="B6" s="709"/>
      <c r="C6" s="710" t="s">
        <v>108</v>
      </c>
      <c r="D6" s="710" t="s">
        <v>350</v>
      </c>
      <c r="E6" s="711" t="s">
        <v>329</v>
      </c>
      <c r="F6" s="710" t="s">
        <v>109</v>
      </c>
      <c r="G6" s="710" t="s">
        <v>78</v>
      </c>
      <c r="H6" s="711" t="s">
        <v>117</v>
      </c>
      <c r="I6" s="709"/>
    </row>
    <row r="7" spans="1:12" ht="30.75" customHeight="1">
      <c r="A7" s="712"/>
      <c r="B7" s="648"/>
      <c r="C7" s="567" t="s">
        <v>274</v>
      </c>
      <c r="D7" s="567"/>
      <c r="E7" s="641"/>
      <c r="F7" s="567" t="s">
        <v>130</v>
      </c>
      <c r="G7" s="567" t="s">
        <v>129</v>
      </c>
      <c r="H7" s="642" t="s">
        <v>126</v>
      </c>
      <c r="I7" s="648"/>
    </row>
    <row r="8" spans="1:12" ht="24" customHeight="1" thickBot="1">
      <c r="A8" s="910" t="s">
        <v>51</v>
      </c>
      <c r="B8" s="910"/>
      <c r="C8" s="569" t="s">
        <v>120</v>
      </c>
      <c r="D8" s="569" t="s">
        <v>354</v>
      </c>
      <c r="E8" s="569" t="s">
        <v>354</v>
      </c>
      <c r="F8" s="569" t="s">
        <v>119</v>
      </c>
      <c r="G8" s="569" t="s">
        <v>119</v>
      </c>
      <c r="H8" s="569"/>
      <c r="I8" s="713" t="s">
        <v>25</v>
      </c>
    </row>
    <row r="9" spans="1:12" s="609" customFormat="1" ht="15" customHeight="1" thickTop="1">
      <c r="A9" s="635"/>
      <c r="B9" s="580" t="s">
        <v>328</v>
      </c>
      <c r="C9" s="573">
        <v>1</v>
      </c>
      <c r="D9" s="573">
        <v>1</v>
      </c>
      <c r="E9" s="645">
        <v>1</v>
      </c>
      <c r="F9" s="573">
        <v>598</v>
      </c>
      <c r="G9" s="573">
        <v>237</v>
      </c>
      <c r="H9" s="573">
        <v>116826.5</v>
      </c>
      <c r="I9" s="575" t="s">
        <v>378</v>
      </c>
      <c r="L9" s="410"/>
    </row>
    <row r="10" spans="1:12" s="609" customFormat="1" ht="15" customHeight="1">
      <c r="A10" s="635"/>
      <c r="B10" s="582" t="s">
        <v>4</v>
      </c>
      <c r="C10" s="577">
        <v>10</v>
      </c>
      <c r="D10" s="577">
        <v>1</v>
      </c>
      <c r="E10" s="640">
        <v>1</v>
      </c>
      <c r="F10" s="577">
        <v>29279</v>
      </c>
      <c r="G10" s="577">
        <v>20866</v>
      </c>
      <c r="H10" s="577">
        <v>8505010</v>
      </c>
      <c r="I10" s="640" t="s">
        <v>16</v>
      </c>
      <c r="L10" s="410"/>
    </row>
    <row r="11" spans="1:12" s="609" customFormat="1" ht="15" customHeight="1">
      <c r="A11" s="635"/>
      <c r="B11" s="580" t="s">
        <v>5</v>
      </c>
      <c r="C11" s="573">
        <v>2</v>
      </c>
      <c r="D11" s="573">
        <v>0</v>
      </c>
      <c r="E11" s="645">
        <v>0</v>
      </c>
      <c r="F11" s="573">
        <v>838</v>
      </c>
      <c r="G11" s="573">
        <v>558</v>
      </c>
      <c r="H11" s="573">
        <v>279015</v>
      </c>
      <c r="I11" s="645" t="s">
        <v>23</v>
      </c>
      <c r="L11" s="410"/>
    </row>
    <row r="12" spans="1:12" s="609" customFormat="1" ht="15" customHeight="1">
      <c r="A12" s="635"/>
      <c r="B12" s="582" t="s">
        <v>6</v>
      </c>
      <c r="C12" s="577">
        <v>1</v>
      </c>
      <c r="D12" s="577">
        <v>0</v>
      </c>
      <c r="E12" s="640">
        <v>0</v>
      </c>
      <c r="F12" s="577">
        <v>1920</v>
      </c>
      <c r="G12" s="577">
        <v>1392</v>
      </c>
      <c r="H12" s="577">
        <v>417600</v>
      </c>
      <c r="I12" s="640" t="s">
        <v>379</v>
      </c>
      <c r="L12" s="410"/>
    </row>
    <row r="13" spans="1:12" s="609" customFormat="1" ht="15" customHeight="1">
      <c r="A13" s="635"/>
      <c r="B13" s="580" t="s">
        <v>8</v>
      </c>
      <c r="C13" s="573">
        <v>1</v>
      </c>
      <c r="D13" s="573">
        <v>0</v>
      </c>
      <c r="E13" s="645">
        <v>0</v>
      </c>
      <c r="F13" s="573">
        <v>2496</v>
      </c>
      <c r="G13" s="573">
        <v>1351</v>
      </c>
      <c r="H13" s="573">
        <v>405171</v>
      </c>
      <c r="I13" s="645" t="s">
        <v>18</v>
      </c>
      <c r="L13" s="410"/>
    </row>
    <row r="14" spans="1:12" s="830" customFormat="1" ht="15" customHeight="1">
      <c r="A14" s="634"/>
      <c r="B14" s="826" t="s">
        <v>10</v>
      </c>
      <c r="C14" s="577">
        <v>1</v>
      </c>
      <c r="D14" s="577">
        <v>0</v>
      </c>
      <c r="E14" s="640">
        <v>0</v>
      </c>
      <c r="F14" s="577">
        <v>221</v>
      </c>
      <c r="G14" s="577">
        <v>426</v>
      </c>
      <c r="H14" s="577">
        <v>149184</v>
      </c>
      <c r="I14" s="640" t="s">
        <v>20</v>
      </c>
      <c r="L14" s="842"/>
    </row>
    <row r="15" spans="1:12" s="609" customFormat="1" ht="15" customHeight="1">
      <c r="A15" s="635"/>
      <c r="B15" s="580" t="s">
        <v>12</v>
      </c>
      <c r="C15" s="573">
        <v>0</v>
      </c>
      <c r="D15" s="573">
        <v>1</v>
      </c>
      <c r="E15" s="645">
        <v>0</v>
      </c>
      <c r="F15" s="573">
        <v>86</v>
      </c>
      <c r="G15" s="573">
        <v>26</v>
      </c>
      <c r="H15" s="573">
        <v>10336</v>
      </c>
      <c r="I15" s="645" t="s">
        <v>24</v>
      </c>
      <c r="L15" s="410"/>
    </row>
    <row r="16" spans="1:12" s="609" customFormat="1" ht="15" customHeight="1" thickBot="1">
      <c r="A16" s="635"/>
      <c r="B16" s="582" t="s">
        <v>13</v>
      </c>
      <c r="C16" s="577">
        <v>2</v>
      </c>
      <c r="D16" s="577">
        <v>0</v>
      </c>
      <c r="E16" s="640">
        <v>0</v>
      </c>
      <c r="F16" s="577">
        <v>7104</v>
      </c>
      <c r="G16" s="577">
        <v>3378</v>
      </c>
      <c r="H16" s="577">
        <v>1539443</v>
      </c>
      <c r="I16" s="640" t="s">
        <v>22</v>
      </c>
      <c r="L16" s="410"/>
    </row>
    <row r="17" spans="1:9" s="609" customFormat="1" ht="17.25" customHeight="1" thickBot="1">
      <c r="A17" s="714"/>
      <c r="B17" s="715" t="s">
        <v>0</v>
      </c>
      <c r="C17" s="716">
        <f>SUM(C9:C16)</f>
        <v>18</v>
      </c>
      <c r="D17" s="716">
        <f t="shared" ref="D17:H17" si="0">SUM(D9:D16)</f>
        <v>3</v>
      </c>
      <c r="E17" s="716">
        <f t="shared" si="0"/>
        <v>2</v>
      </c>
      <c r="F17" s="716">
        <f t="shared" si="0"/>
        <v>42542</v>
      </c>
      <c r="G17" s="716">
        <f t="shared" si="0"/>
        <v>28234</v>
      </c>
      <c r="H17" s="716">
        <f t="shared" si="0"/>
        <v>11422585.5</v>
      </c>
      <c r="I17" s="717" t="s">
        <v>1</v>
      </c>
    </row>
    <row r="18" spans="1:9" ht="13.8" thickTop="1">
      <c r="B18" s="770" t="s">
        <v>448</v>
      </c>
      <c r="C18" s="684"/>
      <c r="D18" s="770"/>
      <c r="E18" s="770"/>
      <c r="F18" s="770"/>
      <c r="G18" s="770"/>
    </row>
    <row r="19" spans="1:9" ht="14.25" customHeight="1">
      <c r="B19" s="615"/>
      <c r="E19" s="587"/>
    </row>
    <row r="20" spans="1:9">
      <c r="E20" s="587"/>
    </row>
  </sheetData>
  <mergeCells count="7">
    <mergeCell ref="A8:B8"/>
    <mergeCell ref="B1:I1"/>
    <mergeCell ref="B2:I3"/>
    <mergeCell ref="B5:C5"/>
    <mergeCell ref="H4:I4"/>
    <mergeCell ref="G5:H5"/>
    <mergeCell ref="D5:E5"/>
  </mergeCells>
  <phoneticPr fontId="3" type="noConversion"/>
  <printOptions horizontalCentered="1" verticalCentered="1"/>
  <pageMargins left="0.23622047244094491" right="0.38" top="1.3779527559055118" bottom="1.8110236220472442" header="0.19685039370078741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نطاقات تمت تسميتها</vt:lpstr>
      </vt:variant>
      <vt:variant>
        <vt:i4>32</vt:i4>
      </vt:variant>
    </vt:vector>
  </HeadingPairs>
  <TitlesOfParts>
    <vt:vector size="76" baseType="lpstr">
      <vt:lpstr>الكلفه  للسنوات</vt:lpstr>
      <vt:lpstr>مؤشرات</vt:lpstr>
      <vt:lpstr>مخطط المؤشرات</vt:lpstr>
      <vt:lpstr>دور السكن ج</vt:lpstr>
      <vt:lpstr>دور السكن م</vt:lpstr>
      <vt:lpstr>عمارات سكنيه ج و م</vt:lpstr>
      <vt:lpstr>عمارات تجاريه ج</vt:lpstr>
      <vt:lpstr>عمارات تجاريه م</vt:lpstr>
      <vt:lpstr>ابنيه صناعيه ج</vt:lpstr>
      <vt:lpstr>صناعي اضافة</vt:lpstr>
      <vt:lpstr>ابنيه تجاريه ج</vt:lpstr>
      <vt:lpstr>ابنيه تجاريه م</vt:lpstr>
      <vt:lpstr>ابنيه اجتماعيه ج</vt:lpstr>
      <vt:lpstr>ابنيه اجتماعيه م</vt:lpstr>
      <vt:lpstr>العاملين</vt:lpstr>
      <vt:lpstr>مخطط العاملين</vt:lpstr>
      <vt:lpstr>طابوق</vt:lpstr>
      <vt:lpstr>بلوك</vt:lpstr>
      <vt:lpstr>مخطط الطابوق والبلوك</vt:lpstr>
      <vt:lpstr>حجر</vt:lpstr>
      <vt:lpstr>حصى</vt:lpstr>
      <vt:lpstr>رمل</vt:lpstr>
      <vt:lpstr>مخطط الحصى</vt:lpstr>
      <vt:lpstr>سمنت</vt:lpstr>
      <vt:lpstr>جص</vt:lpstr>
      <vt:lpstr>مخطط الجص والاسمنت</vt:lpstr>
      <vt:lpstr>كاشي</vt:lpstr>
      <vt:lpstr>كاشي2</vt:lpstr>
      <vt:lpstr>مخطط الكاشي</vt:lpstr>
      <vt:lpstr>حديد</vt:lpstr>
      <vt:lpstr>ابواب</vt:lpstr>
      <vt:lpstr>شبابيك</vt:lpstr>
      <vt:lpstr>ت.كهربائيه1</vt:lpstr>
      <vt:lpstr>ت.كهربائيه2</vt:lpstr>
      <vt:lpstr>ت.صحيه1</vt:lpstr>
      <vt:lpstr>ت.صحيه2</vt:lpstr>
      <vt:lpstr>ت.صحيه3</vt:lpstr>
      <vt:lpstr>مواد انشائيه1</vt:lpstr>
      <vt:lpstr>مواد انشائيه2</vt:lpstr>
      <vt:lpstr>مواد انشائيه3</vt:lpstr>
      <vt:lpstr>مواد انشائيه4</vt:lpstr>
      <vt:lpstr>الكلفه الكليه</vt:lpstr>
      <vt:lpstr>Sheet3</vt:lpstr>
      <vt:lpstr>Sheet1</vt:lpstr>
      <vt:lpstr>'ابنيه اجتماعيه ج'!Print_Area</vt:lpstr>
      <vt:lpstr>'ابنيه تجاريه ج'!Print_Area</vt:lpstr>
      <vt:lpstr>'ابنيه تجاريه م'!Print_Area</vt:lpstr>
      <vt:lpstr>'ابنيه صناعيه ج'!Print_Area</vt:lpstr>
      <vt:lpstr>ابواب!Print_Area</vt:lpstr>
      <vt:lpstr>العاملين!Print_Area</vt:lpstr>
      <vt:lpstr>'الكلفه  للسنوات'!Print_Area</vt:lpstr>
      <vt:lpstr>'الكلفه الكليه'!Print_Area</vt:lpstr>
      <vt:lpstr>بلوك!Print_Area</vt:lpstr>
      <vt:lpstr>ت.صحيه1!Print_Area</vt:lpstr>
      <vt:lpstr>ت.صحيه2!Print_Area</vt:lpstr>
      <vt:lpstr>ت.صحيه3!Print_Area</vt:lpstr>
      <vt:lpstr>ت.كهربائيه1!Print_Area</vt:lpstr>
      <vt:lpstr>ت.كهربائيه2!Print_Area</vt:lpstr>
      <vt:lpstr>حجر!Print_Area</vt:lpstr>
      <vt:lpstr>حديد!Print_Area</vt:lpstr>
      <vt:lpstr>حصى!Print_Area</vt:lpstr>
      <vt:lpstr>'دور السكن ج'!Print_Area</vt:lpstr>
      <vt:lpstr>سمنت!Print_Area</vt:lpstr>
      <vt:lpstr>شبابيك!Print_Area</vt:lpstr>
      <vt:lpstr>'صناعي اضافة'!Print_Area</vt:lpstr>
      <vt:lpstr>طابوق!Print_Area</vt:lpstr>
      <vt:lpstr>'عمارات تجاريه ج'!Print_Area</vt:lpstr>
      <vt:lpstr>'عمارات تجاريه م'!Print_Area</vt:lpstr>
      <vt:lpstr>كاشي!Print_Area</vt:lpstr>
      <vt:lpstr>كاشي2!Print_Area</vt:lpstr>
      <vt:lpstr>'مخطط الطابوق والبلوك'!Print_Area</vt:lpstr>
      <vt:lpstr>'مواد انشائيه1'!Print_Area</vt:lpstr>
      <vt:lpstr>'مواد انشائيه2'!Print_Area</vt:lpstr>
      <vt:lpstr>'مواد انشائيه3'!Print_Area</vt:lpstr>
      <vt:lpstr>'مواد انشائيه4'!Print_Area</vt:lpstr>
      <vt:lpstr>مؤشرات!Print_Area</vt:lpstr>
    </vt:vector>
  </TitlesOfParts>
  <Company>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Taghreed Fadel</cp:lastModifiedBy>
  <cp:lastPrinted>2026-07-30T05:34:56Z</cp:lastPrinted>
  <dcterms:created xsi:type="dcterms:W3CDTF">2008-12-28T17:21:03Z</dcterms:created>
  <dcterms:modified xsi:type="dcterms:W3CDTF">2026-08-18T06:56:36Z</dcterms:modified>
</cp:coreProperties>
</file>